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212523799\Box Sync\MN Product Management\Cortecs\RA331\"/>
    </mc:Choice>
  </mc:AlternateContent>
  <xr:revisionPtr revIDLastSave="0" documentId="13_ncr:1_{6827E570-2C54-48FD-AD27-C85AFB3F7AEC}" xr6:coauthVersionLast="45" xr6:coauthVersionMax="45" xr10:uidLastSave="{00000000-0000-0000-0000-000000000000}"/>
  <workbookProtection workbookAlgorithmName="SHA-512" workbookHashValue="y/R3P8+xoBf5+kgjqhwOTnInk4ZyWxOO4huIpLrrTlqyxZ/PS8BRtBIhOEnuX9Y/0ZRFAg5OdaCbFLJmlyzqhQ==" workbookSaltValue="xiKVjQ1EbSStseZoQdltzw==" workbookSpinCount="100000" lockStructure="1"/>
  <bookViews>
    <workbookView xWindow="-120" yWindow="-120" windowWidth="29040" windowHeight="15840" tabRatio="617" xr2:uid="{00000000-000D-0000-FFFF-FFFF00000000}"/>
  </bookViews>
  <sheets>
    <sheet name="Disclaimer" sheetId="7" r:id="rId1"/>
    <sheet name="Cortec" sheetId="12" r:id="rId2"/>
    <sheet name="Configurator" sheetId="11" r:id="rId3"/>
    <sheet name="Master Text" sheetId="10" r:id="rId4"/>
    <sheet name="Boards &amp; Accessories" sheetId="14" r:id="rId5"/>
    <sheet name="Database" sheetId="9" state="hidden" r:id="rId6"/>
    <sheet name="Date Drivers" sheetId="6" state="hidden" r:id="rId7"/>
    <sheet name="Language" sheetId="13"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0" l="1"/>
  <c r="C27" i="10"/>
  <c r="E9" i="12"/>
  <c r="AG6" i="6"/>
  <c r="A9" i="12" s="1"/>
  <c r="AG40" i="6"/>
  <c r="AG37" i="6"/>
  <c r="AG35" i="6"/>
  <c r="AG34" i="6"/>
  <c r="AG33" i="6"/>
  <c r="AG32" i="6"/>
  <c r="AG30" i="6"/>
  <c r="AG29" i="6"/>
  <c r="AG28" i="6"/>
  <c r="AG27" i="6"/>
  <c r="AG25" i="6"/>
  <c r="AG24" i="6"/>
  <c r="AG23" i="6"/>
  <c r="AG22" i="6"/>
  <c r="AG21" i="6"/>
  <c r="AG20" i="6"/>
  <c r="AG19" i="6"/>
  <c r="AG18" i="6"/>
  <c r="AG16" i="6"/>
  <c r="AG15" i="6"/>
  <c r="AG14" i="6"/>
  <c r="AG13" i="6"/>
  <c r="AG12" i="6"/>
  <c r="AG11" i="6"/>
  <c r="AG10" i="6"/>
  <c r="AG9" i="6"/>
  <c r="AG7" i="6"/>
  <c r="AG5" i="6"/>
  <c r="AG4" i="6" s="1"/>
  <c r="AG1" i="6"/>
  <c r="G25" i="12" l="1"/>
  <c r="F15" i="12"/>
  <c r="H26" i="10" l="1"/>
  <c r="AB1" i="6"/>
  <c r="G27" i="12" l="1"/>
  <c r="G23" i="12"/>
  <c r="F17" i="12"/>
  <c r="F13" i="12"/>
  <c r="H25" i="10" l="1"/>
  <c r="W1" i="6"/>
  <c r="H24" i="10" l="1"/>
  <c r="D21" i="9" l="1"/>
  <c r="D22" i="9" s="1"/>
  <c r="D23" i="9" s="1"/>
  <c r="D24" i="9" s="1"/>
  <c r="D25" i="9" s="1"/>
  <c r="D26" i="9" s="1"/>
  <c r="D27" i="9" s="1"/>
  <c r="D11" i="9"/>
  <c r="D12" i="9" s="1"/>
  <c r="D13" i="9" s="1"/>
  <c r="D14" i="9" s="1"/>
  <c r="D15" i="9" s="1"/>
  <c r="D16" i="9" s="1"/>
  <c r="D17" i="9" s="1"/>
  <c r="C20" i="9"/>
  <c r="C21" i="9" s="1"/>
  <c r="C22" i="9" s="1"/>
  <c r="C23" i="9" s="1"/>
  <c r="C24" i="9" s="1"/>
  <c r="C25" i="9" s="1"/>
  <c r="C26" i="9" s="1"/>
  <c r="C27" i="9" s="1"/>
  <c r="R1" i="6" l="1"/>
  <c r="H23" i="10" l="1"/>
  <c r="H21" i="10"/>
  <c r="M1" i="6"/>
  <c r="D43" i="9" l="1"/>
  <c r="C42" i="9"/>
  <c r="C43" i="9" s="1"/>
  <c r="Q23" i="11" l="1"/>
  <c r="Q19" i="11"/>
  <c r="O3" i="11"/>
  <c r="O2" i="11" s="1"/>
  <c r="A1" i="11" l="1"/>
  <c r="H20" i="10"/>
  <c r="A2" i="10"/>
  <c r="D47" i="9" l="1"/>
  <c r="C10" i="9"/>
  <c r="C11" i="9" s="1"/>
  <c r="C12" i="9" s="1"/>
  <c r="C13" i="9" s="1"/>
  <c r="C14" i="9" s="1"/>
  <c r="C15" i="9" s="1"/>
  <c r="C16" i="9" s="1"/>
  <c r="C17" i="9" s="1"/>
  <c r="C46" i="9"/>
  <c r="C47" i="9" s="1"/>
  <c r="C36" i="9"/>
  <c r="C37" i="9" s="1"/>
  <c r="C38" i="9" s="1"/>
  <c r="C39" i="9" s="1"/>
  <c r="C30" i="9"/>
  <c r="C31" i="9" s="1"/>
  <c r="C32" i="9" s="1"/>
  <c r="C33" i="9" s="1"/>
  <c r="C5" i="9"/>
  <c r="C6" i="9" s="1"/>
  <c r="C7" i="9" s="1"/>
  <c r="H1" i="6"/>
  <c r="C1" i="6"/>
  <c r="K2" i="9"/>
  <c r="D37" i="9"/>
  <c r="D38" i="9" s="1"/>
  <c r="D31" i="9"/>
  <c r="D32" i="9" s="1"/>
  <c r="D33" i="9" s="1"/>
  <c r="D6" i="9"/>
  <c r="D7" i="9" s="1"/>
  <c r="K1" i="9"/>
  <c r="D39" i="9" l="1"/>
  <c r="G7" i="9"/>
  <c r="G2" i="9"/>
  <c r="F7" i="9"/>
  <c r="H7" i="9"/>
  <c r="H2" i="9"/>
  <c r="E7" i="9"/>
  <c r="C3" i="13" l="1"/>
  <c r="B3" i="13"/>
  <c r="W6" i="6" l="1"/>
  <c r="C26" i="10"/>
  <c r="AB37" i="6"/>
  <c r="AB32" i="6"/>
  <c r="AB27" i="6"/>
  <c r="AB22" i="6"/>
  <c r="AB18" i="6"/>
  <c r="AB13" i="6"/>
  <c r="AB9" i="6"/>
  <c r="AB35" i="6"/>
  <c r="AB30" i="6"/>
  <c r="AB25" i="6"/>
  <c r="AB21" i="6"/>
  <c r="AB16" i="6"/>
  <c r="AB12" i="6"/>
  <c r="AB7" i="6"/>
  <c r="AB33" i="6"/>
  <c r="AB19" i="6"/>
  <c r="AB10" i="6"/>
  <c r="AB34" i="6"/>
  <c r="AB29" i="6"/>
  <c r="AB24" i="6"/>
  <c r="AB20" i="6"/>
  <c r="AB15" i="6"/>
  <c r="AB11" i="6"/>
  <c r="AB6" i="6"/>
  <c r="AB40" i="6"/>
  <c r="AB28" i="6"/>
  <c r="AB23" i="6"/>
  <c r="AB14" i="6"/>
  <c r="AB5" i="6"/>
  <c r="AB4" i="6" s="1"/>
  <c r="W25" i="6"/>
  <c r="W21" i="6"/>
  <c r="W9" i="6"/>
  <c r="W13" i="6"/>
  <c r="W19" i="6"/>
  <c r="W12" i="6"/>
  <c r="W24" i="6"/>
  <c r="W20" i="6"/>
  <c r="W10" i="6"/>
  <c r="W14" i="6"/>
  <c r="W11" i="6"/>
  <c r="W22" i="6"/>
  <c r="W16" i="6"/>
  <c r="W23" i="6"/>
  <c r="W15" i="6"/>
  <c r="W18" i="6"/>
  <c r="W34" i="6"/>
  <c r="W29" i="6"/>
  <c r="W7" i="6"/>
  <c r="W40" i="6"/>
  <c r="W33" i="6"/>
  <c r="W28" i="6"/>
  <c r="W5" i="6"/>
  <c r="W4" i="6" s="1"/>
  <c r="W30" i="6"/>
  <c r="W37" i="6"/>
  <c r="W32" i="6"/>
  <c r="W27" i="6"/>
  <c r="W35" i="6"/>
  <c r="C25" i="10"/>
  <c r="B3" i="7"/>
  <c r="C24" i="10"/>
  <c r="R10" i="6"/>
  <c r="R12" i="6"/>
  <c r="R19" i="6"/>
  <c r="R21" i="6"/>
  <c r="R40" i="6"/>
  <c r="R33" i="6"/>
  <c r="R28" i="6"/>
  <c r="R23" i="6"/>
  <c r="R16" i="6"/>
  <c r="R11" i="6"/>
  <c r="R5" i="6"/>
  <c r="R4" i="6" s="1"/>
  <c r="R34" i="6"/>
  <c r="R24" i="6"/>
  <c r="R13" i="6"/>
  <c r="R6" i="6"/>
  <c r="R37" i="6"/>
  <c r="R32" i="6"/>
  <c r="R27" i="6"/>
  <c r="R22" i="6"/>
  <c r="R15" i="6"/>
  <c r="R9" i="6"/>
  <c r="R29" i="6"/>
  <c r="R18" i="6"/>
  <c r="R35" i="6"/>
  <c r="R30" i="6"/>
  <c r="R25" i="6"/>
  <c r="R20" i="6"/>
  <c r="R14" i="6"/>
  <c r="R7" i="6"/>
  <c r="B3" i="12"/>
  <c r="B11" i="7"/>
  <c r="A3" i="12"/>
  <c r="A1" i="12"/>
  <c r="B4" i="7"/>
  <c r="B6" i="7"/>
  <c r="C20" i="10"/>
  <c r="C22" i="10"/>
  <c r="M34" i="6"/>
  <c r="M29" i="6"/>
  <c r="M24" i="6"/>
  <c r="M18" i="6"/>
  <c r="M13" i="6"/>
  <c r="M6" i="6"/>
  <c r="C23" i="10"/>
  <c r="M37" i="6"/>
  <c r="M33" i="6"/>
  <c r="M28" i="6"/>
  <c r="M23" i="6"/>
  <c r="M16" i="6"/>
  <c r="M11" i="6"/>
  <c r="M5" i="6"/>
  <c r="M4" i="6" s="1"/>
  <c r="M40" i="6"/>
  <c r="M32" i="6"/>
  <c r="M27" i="6"/>
  <c r="M22" i="6"/>
  <c r="M15" i="6"/>
  <c r="M9" i="6"/>
  <c r="M35" i="6"/>
  <c r="M30" i="6"/>
  <c r="M25" i="6"/>
  <c r="M20" i="6"/>
  <c r="M14" i="6"/>
  <c r="M7" i="6"/>
  <c r="C21" i="10"/>
  <c r="H35" i="6"/>
  <c r="H33" i="6"/>
  <c r="B32" i="6"/>
  <c r="C33" i="6"/>
  <c r="H32" i="6"/>
  <c r="C32" i="6"/>
  <c r="C35" i="6"/>
  <c r="C34" i="6"/>
  <c r="H34" i="6"/>
  <c r="O1" i="11"/>
  <c r="A19" i="10"/>
  <c r="H23" i="6"/>
  <c r="H16" i="6"/>
  <c r="H11" i="6"/>
  <c r="H22" i="6"/>
  <c r="H15" i="6"/>
  <c r="H9" i="6"/>
  <c r="H24" i="6"/>
  <c r="H20" i="6"/>
  <c r="H14" i="6"/>
  <c r="H18" i="6"/>
  <c r="H13" i="6"/>
  <c r="H6" i="6"/>
  <c r="H7" i="6"/>
  <c r="H30" i="6"/>
  <c r="C40" i="6"/>
  <c r="B37" i="6"/>
  <c r="C28" i="6"/>
  <c r="C25" i="6"/>
  <c r="C20" i="6"/>
  <c r="C15" i="6"/>
  <c r="B27" i="6"/>
  <c r="B6" i="6"/>
  <c r="H40" i="6"/>
  <c r="H29" i="6"/>
  <c r="C38" i="6"/>
  <c r="C27" i="6"/>
  <c r="C24" i="6"/>
  <c r="C18" i="6"/>
  <c r="C14" i="6"/>
  <c r="C9" i="6"/>
  <c r="C5" i="6"/>
  <c r="C4" i="6" s="1"/>
  <c r="A6" i="12" s="1"/>
  <c r="H38" i="6"/>
  <c r="H28" i="6"/>
  <c r="H25" i="6"/>
  <c r="C37" i="6"/>
  <c r="C30" i="6"/>
  <c r="C23" i="6"/>
  <c r="B18" i="6"/>
  <c r="C13" i="6"/>
  <c r="B9" i="6"/>
  <c r="B4" i="6"/>
  <c r="A5" i="12" s="1"/>
  <c r="H37" i="6"/>
  <c r="H27" i="6"/>
  <c r="H5" i="6"/>
  <c r="B40" i="6"/>
  <c r="C29" i="6"/>
  <c r="C22" i="6"/>
  <c r="C16" i="6"/>
  <c r="C11" i="6"/>
  <c r="C6" i="6"/>
  <c r="H39" i="9"/>
  <c r="G25" i="9"/>
  <c r="H46" i="9"/>
  <c r="G32" i="9"/>
  <c r="E32" i="9"/>
  <c r="E43" i="9"/>
  <c r="G16" i="9"/>
  <c r="E42" i="9"/>
  <c r="E12" i="9"/>
  <c r="F11" i="9"/>
  <c r="E11" i="9"/>
  <c r="E37" i="9"/>
  <c r="F38" i="9"/>
  <c r="G27" i="9"/>
  <c r="B29" i="9"/>
  <c r="G14" i="9"/>
  <c r="F43" i="9"/>
  <c r="E46" i="9"/>
  <c r="B45" i="9"/>
  <c r="H15" i="9"/>
  <c r="G38" i="9"/>
  <c r="G43" i="9"/>
  <c r="E5" i="9"/>
  <c r="F30" i="9"/>
  <c r="F5" i="9"/>
  <c r="F31" i="9"/>
  <c r="G12" i="9"/>
  <c r="G26" i="9"/>
  <c r="E30" i="9"/>
  <c r="H33" i="9"/>
  <c r="G5" i="9"/>
  <c r="G36" i="9"/>
  <c r="E14" i="9"/>
  <c r="G11" i="9"/>
  <c r="H22" i="9"/>
  <c r="B19" i="9"/>
  <c r="G46" i="9"/>
  <c r="H47" i="9"/>
  <c r="F20" i="9"/>
  <c r="E22" i="9"/>
  <c r="E47" i="9"/>
  <c r="G39" i="9"/>
  <c r="H16" i="9"/>
  <c r="G15" i="9"/>
  <c r="E21" i="9"/>
  <c r="H37" i="9"/>
  <c r="G20" i="9"/>
  <c r="H11" i="9"/>
  <c r="F21" i="9"/>
  <c r="H10" i="9"/>
  <c r="H31" i="9"/>
  <c r="H17" i="9"/>
  <c r="H23" i="9"/>
  <c r="E24" i="9"/>
  <c r="E39" i="9"/>
  <c r="F46" i="9"/>
  <c r="F36" i="9"/>
  <c r="H26" i="9"/>
  <c r="H36" i="9"/>
  <c r="E23" i="9"/>
  <c r="F33" i="9"/>
  <c r="E13" i="9"/>
  <c r="F12" i="9"/>
  <c r="G33" i="9"/>
  <c r="H13" i="9"/>
  <c r="F37" i="9"/>
  <c r="F42" i="9"/>
  <c r="G37" i="9"/>
  <c r="F13" i="9"/>
  <c r="G30" i="9"/>
  <c r="F24" i="9"/>
  <c r="G24" i="9"/>
  <c r="G10" i="9"/>
  <c r="F22" i="9"/>
  <c r="H25" i="9"/>
  <c r="H12" i="9"/>
  <c r="H24" i="9"/>
  <c r="H43" i="9"/>
  <c r="G23" i="9"/>
  <c r="G31" i="9"/>
  <c r="E31" i="9"/>
  <c r="G17" i="9"/>
  <c r="G22" i="9"/>
  <c r="H21" i="9"/>
  <c r="E2" i="9"/>
  <c r="H30" i="9"/>
  <c r="F10" i="9"/>
  <c r="B41" i="9"/>
  <c r="H42" i="9"/>
  <c r="B9" i="9"/>
  <c r="H20" i="9"/>
  <c r="F47" i="9"/>
  <c r="G21" i="9"/>
  <c r="E20" i="9"/>
  <c r="G42" i="9"/>
  <c r="H32" i="9"/>
  <c r="E10" i="9"/>
  <c r="E33" i="9"/>
  <c r="H14" i="9"/>
  <c r="H27" i="9"/>
  <c r="H38" i="9"/>
  <c r="F39" i="9"/>
  <c r="G47" i="9"/>
  <c r="F14" i="9"/>
  <c r="B35" i="9"/>
  <c r="E38" i="9"/>
  <c r="E36" i="9"/>
  <c r="G13" i="9"/>
  <c r="F32" i="9"/>
  <c r="B4" i="9"/>
  <c r="E10" i="12" l="1"/>
  <c r="A10" i="12"/>
  <c r="A15" i="12"/>
  <c r="A25" i="12"/>
  <c r="A17" i="12"/>
  <c r="A27" i="12"/>
  <c r="A23" i="12"/>
  <c r="A13" i="12"/>
  <c r="F4" i="9"/>
  <c r="G5" i="11" s="1"/>
  <c r="G3" i="11" s="1"/>
  <c r="F20" i="12"/>
  <c r="F18" i="12"/>
  <c r="A20" i="12"/>
  <c r="A19" i="12"/>
  <c r="F19" i="12"/>
  <c r="A18" i="12"/>
  <c r="A14" i="12"/>
  <c r="F14" i="12"/>
  <c r="A16" i="12"/>
  <c r="F16" i="12"/>
  <c r="G26" i="12"/>
  <c r="A26" i="12"/>
  <c r="G24" i="12"/>
  <c r="A24" i="12"/>
  <c r="F9" i="9"/>
  <c r="G7" i="11" s="1"/>
  <c r="H3" i="11" s="1"/>
  <c r="J45" i="12"/>
  <c r="A45" i="12"/>
  <c r="F41" i="9"/>
  <c r="G15" i="11" s="1"/>
  <c r="L3" i="11" s="1"/>
  <c r="G41" i="9"/>
  <c r="E41" i="9"/>
  <c r="A14" i="10" s="1"/>
  <c r="H41" i="9"/>
  <c r="Q15" i="11" s="1"/>
  <c r="F3" i="11"/>
  <c r="D6" i="12"/>
  <c r="K48" i="12"/>
  <c r="A47" i="12"/>
  <c r="A48" i="12"/>
  <c r="A44" i="12"/>
  <c r="I42" i="12"/>
  <c r="I40" i="12"/>
  <c r="I41" i="12"/>
  <c r="I39" i="12"/>
  <c r="A42" i="12"/>
  <c r="A40" i="12"/>
  <c r="A38" i="12"/>
  <c r="A41" i="12"/>
  <c r="A39" i="12"/>
  <c r="A32" i="12"/>
  <c r="A35" i="12"/>
  <c r="A36" i="12"/>
  <c r="A34" i="12"/>
  <c r="A33" i="12"/>
  <c r="H35" i="12"/>
  <c r="H36" i="12"/>
  <c r="H34" i="12"/>
  <c r="H33" i="12"/>
  <c r="G30" i="12"/>
  <c r="G28" i="12"/>
  <c r="A29" i="12"/>
  <c r="A30" i="12"/>
  <c r="A28" i="12"/>
  <c r="A22" i="12"/>
  <c r="A8" i="12"/>
  <c r="A12" i="12"/>
  <c r="H9" i="9"/>
  <c r="Q7" i="11" s="1"/>
  <c r="G9" i="9"/>
  <c r="H4" i="9"/>
  <c r="Q5" i="11" s="1"/>
  <c r="A10" i="11"/>
  <c r="A9" i="10"/>
  <c r="A6" i="11"/>
  <c r="A5" i="10"/>
  <c r="A16" i="11"/>
  <c r="A15" i="10"/>
  <c r="A14" i="11"/>
  <c r="A13" i="10"/>
  <c r="E4" i="9"/>
  <c r="G4" i="9"/>
  <c r="E45" i="9"/>
  <c r="A16" i="10" s="1"/>
  <c r="G45" i="9"/>
  <c r="H45" i="9"/>
  <c r="Q17" i="11" s="1"/>
  <c r="F45" i="9"/>
  <c r="G17" i="11" s="1"/>
  <c r="A11" i="10"/>
  <c r="A12" i="11"/>
  <c r="G29" i="9"/>
  <c r="H29" i="9"/>
  <c r="Q11" i="11" s="1"/>
  <c r="F29" i="9"/>
  <c r="G11" i="11" s="1"/>
  <c r="J3" i="11" s="1"/>
  <c r="E29" i="9"/>
  <c r="A10" i="10" s="1"/>
  <c r="A3" i="10"/>
  <c r="A4" i="11"/>
  <c r="A8" i="11"/>
  <c r="A7" i="10"/>
  <c r="H19" i="9"/>
  <c r="Q9" i="11" s="1"/>
  <c r="G19" i="9"/>
  <c r="E19" i="9"/>
  <c r="A8" i="10" s="1"/>
  <c r="E9" i="9"/>
  <c r="G35" i="9"/>
  <c r="F35" i="9"/>
  <c r="G13" i="11" s="1"/>
  <c r="K3" i="11" s="1"/>
  <c r="H35" i="9"/>
  <c r="Q13" i="11" s="1"/>
  <c r="E35" i="9"/>
  <c r="A12" i="10" s="1"/>
  <c r="H4" i="6"/>
  <c r="F23" i="9"/>
  <c r="F19" i="9" l="1"/>
  <c r="G9" i="11" s="1"/>
  <c r="I3" i="11" s="1"/>
  <c r="G29" i="12"/>
  <c r="M3" i="11"/>
  <c r="A6" i="10"/>
  <c r="A4" i="10"/>
  <c r="E3" i="9" l="1"/>
  <c r="A1" i="10" s="1"/>
</calcChain>
</file>

<file path=xl/sharedStrings.xml><?xml version="1.0" encoding="utf-8"?>
<sst xmlns="http://schemas.openxmlformats.org/spreadsheetml/2006/main" count="537" uniqueCount="197">
  <si>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</si>
  <si>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</si>
  <si>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</si>
  <si>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</si>
  <si>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</si>
  <si>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</si>
  <si>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</si>
  <si>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Order Number</t>
  </si>
  <si>
    <t>1-5</t>
  </si>
  <si>
    <t>Model Type</t>
  </si>
  <si>
    <t>Power Supply</t>
  </si>
  <si>
    <t>X</t>
  </si>
  <si>
    <t>Customization / Regionalisation</t>
  </si>
  <si>
    <t>Default</t>
  </si>
  <si>
    <t>Reason branding</t>
  </si>
  <si>
    <t>Hardware Design Suffix</t>
  </si>
  <si>
    <t>Analogue Inputs 1 to 4</t>
  </si>
  <si>
    <t>1 A / 115 V</t>
  </si>
  <si>
    <t>5 A / 115 V</t>
  </si>
  <si>
    <t>5 A (PMU) / 115 V</t>
  </si>
  <si>
    <t>0-20 mA / ± 10 V</t>
  </si>
  <si>
    <t>100 mA / 115 V</t>
  </si>
  <si>
    <t>T</t>
  </si>
  <si>
    <t>D</t>
  </si>
  <si>
    <t>P</t>
  </si>
  <si>
    <t>Analogue Inputs 5 to 8</t>
  </si>
  <si>
    <t>Digital Inputs 1 to 16</t>
  </si>
  <si>
    <t>24 V / 48 V</t>
  </si>
  <si>
    <t>125 V</t>
  </si>
  <si>
    <t>250 V</t>
  </si>
  <si>
    <t>(Reserved for) 1 A (PMU) / 115 V</t>
  </si>
  <si>
    <t>Digital Inputs 17 to 32</t>
  </si>
  <si>
    <t>Languages</t>
  </si>
  <si>
    <t>En</t>
  </si>
  <si>
    <t>Pt</t>
  </si>
  <si>
    <t>Es</t>
  </si>
  <si>
    <t>Modelo</t>
  </si>
  <si>
    <t>Acquisition Module for RPV311</t>
  </si>
  <si>
    <t>Módulo de Aquisição para RPV311</t>
  </si>
  <si>
    <t xml:space="preserve">Módulo de Adquisición de RPV311 </t>
  </si>
  <si>
    <t>English</t>
  </si>
  <si>
    <t>Português</t>
  </si>
  <si>
    <t>Alimentação</t>
  </si>
  <si>
    <t xml:space="preserve">Alimentación </t>
  </si>
  <si>
    <t>Espanhol</t>
  </si>
  <si>
    <t>Entradas Analógicas 1 to 4</t>
  </si>
  <si>
    <t xml:space="preserve">Entradas Analógicas 1-4 </t>
  </si>
  <si>
    <t>(Reservado para) 1 A (PMU) / 115 V</t>
  </si>
  <si>
    <t xml:space="preserve">(Reservado para) 1 A (PMU) / 115 V </t>
  </si>
  <si>
    <t>Entradas Analógicas 5 to 8</t>
  </si>
  <si>
    <t>Entradas Analógicas 5-8</t>
  </si>
  <si>
    <t>Analogue Inputs 9 to 12</t>
  </si>
  <si>
    <t>Entradas Analógicas 9 to 12</t>
  </si>
  <si>
    <t>Entradas Analógicas 9-12</t>
  </si>
  <si>
    <t>Analogue Inputs 13 to 16</t>
  </si>
  <si>
    <t>Entradas Analógicas 13 to 16</t>
  </si>
  <si>
    <t>Entradas Analógicas 13-16</t>
  </si>
  <si>
    <t>Entradas Digitais 1 to 16</t>
  </si>
  <si>
    <t>Entradas Digitales 1-16</t>
  </si>
  <si>
    <t>Entradas Digitais 17 to 32</t>
  </si>
  <si>
    <t>Entradas Digitales 17-32</t>
  </si>
  <si>
    <t>Customização / Regionalização</t>
  </si>
  <si>
    <t>Personalización / Regionalización</t>
  </si>
  <si>
    <t>Marca Reason</t>
  </si>
  <si>
    <t>Third version</t>
  </si>
  <si>
    <t>Sample Customer specific</t>
  </si>
  <si>
    <t>Amostra Específica do Cliente</t>
  </si>
  <si>
    <t>Muestra Específica del Cliente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</si>
  <si>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</si>
  <si>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</si>
  <si>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</si>
  <si>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</si>
  <si>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</si>
  <si>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</si>
  <si>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</si>
  <si>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</si>
  <si>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</si>
  <si>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</si>
  <si>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</si>
  <si>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Information required with Order:</t>
  </si>
  <si>
    <t>Informações requeridas para o pedido:</t>
  </si>
  <si>
    <t>Información necesaria para la Orden de Compra:</t>
  </si>
  <si>
    <t>Variantes</t>
  </si>
  <si>
    <t>Número de Orden</t>
  </si>
  <si>
    <t>New function</t>
  </si>
  <si>
    <t>Nova função</t>
  </si>
  <si>
    <t>Nueva función</t>
  </si>
  <si>
    <t>Issue:</t>
  </si>
  <si>
    <t>Emissão:</t>
  </si>
  <si>
    <t>Emisión:</t>
  </si>
  <si>
    <t>Nossa política é de desenvolvimento contínuo. Portanto, o projeto de nossos produtos pode mudar a qualquer momento.</t>
  </si>
  <si>
    <t>Not installed</t>
  </si>
  <si>
    <t>Não instalado</t>
  </si>
  <si>
    <t>No instalado</t>
  </si>
  <si>
    <t>Sufijo Designador del Hardware</t>
  </si>
  <si>
    <t>Sufixo Designador do Hardware</t>
  </si>
  <si>
    <t>Terceira versão</t>
  </si>
  <si>
    <t>Tercera versión</t>
  </si>
  <si>
    <t>Base date:</t>
  </si>
  <si>
    <t>Key date:</t>
  </si>
  <si>
    <t>Pos</t>
  </si>
  <si>
    <t>Description</t>
  </si>
  <si>
    <t>Option</t>
  </si>
  <si>
    <t>Code</t>
  </si>
  <si>
    <t>Cost</t>
  </si>
  <si>
    <t>Avail.</t>
  </si>
  <si>
    <t>Chassis</t>
  </si>
  <si>
    <t>Y</t>
  </si>
  <si>
    <t>Date Drivers start reference</t>
  </si>
  <si>
    <t>Model:</t>
  </si>
  <si>
    <t>Date Drivers finish reference</t>
  </si>
  <si>
    <t>CORTEC:</t>
  </si>
  <si>
    <t>Voltage inputs 115 V / Current inputs 100 mA; full-scale 100 mA (Ith = 2 A)</t>
  </si>
  <si>
    <t>Entradas de tensão de 115 V / Entradas de corrente de 100 mA; fundo de escala 100 mA (Ith = 2 A)</t>
  </si>
  <si>
    <t>Entradas de tensión de 115 V / Entradas de corriente de 100 mA; plena escala 100 mA (Ith = 2 A)</t>
  </si>
  <si>
    <t>Voltage inputs ±10 Vdc / Current inputs 0-20 mAdc</t>
  </si>
  <si>
    <t>Entradas de tensão de ±10 Vcc / Entradas de corrente de 0-20 mAcc</t>
  </si>
  <si>
    <t>Entradas de tensión de ±10 Vcc / Entradas de corriente de 0-20 mAcc</t>
  </si>
  <si>
    <t>Adicionada a opção de fonte 24-48 Vcc, alterada a descrição de entradas analógicas</t>
  </si>
  <si>
    <t>Añadida la opción de alimentación 24-48 Vcc, cambiada la descripción de entradas analógicas</t>
  </si>
  <si>
    <t>Added 24-48 Vdc power supply option, changed analog boards description</t>
  </si>
  <si>
    <t>Material Cost</t>
  </si>
  <si>
    <t>Custo de Material</t>
  </si>
  <si>
    <t>Costo de Materiales</t>
  </si>
  <si>
    <t>Orders on request</t>
  </si>
  <si>
    <t>Venda sob-consulta</t>
  </si>
  <si>
    <t>Pedidos mediante consulta</t>
  </si>
  <si>
    <t>Travelling Wave Input</t>
  </si>
  <si>
    <t>Entrada para Ondas Viajantes</t>
  </si>
  <si>
    <t>Entrada para Ondas Viajeras</t>
  </si>
  <si>
    <t>Three-phase bus or line voltage</t>
  </si>
  <si>
    <t>Tensão da barra ou da linha</t>
  </si>
  <si>
    <t>Tensión del bus o de línea</t>
  </si>
  <si>
    <t>RA331</t>
  </si>
  <si>
    <t>Corrected power supply range for option 3</t>
  </si>
  <si>
    <t>Corrigido os valores nominais para fonte de alimentação opção 3</t>
  </si>
  <si>
    <t>Ajustados los valores nominales de la alimentación opción 3</t>
  </si>
  <si>
    <t>100-250 Vdc / 110-240 Vac</t>
  </si>
  <si>
    <t>100-250 Vcc / 110-240 Vca</t>
  </si>
  <si>
    <t>Changed branding to GE</t>
  </si>
  <si>
    <t>Alterada a marca para GE</t>
  </si>
  <si>
    <t>Cambiada la marca para GE</t>
  </si>
  <si>
    <t>GE branding</t>
  </si>
  <si>
    <t>Marca GE</t>
  </si>
  <si>
    <t>Voltage inputs 115 V / Current inputs 1 A; full-scale 40 A (Ith = 100 A)</t>
  </si>
  <si>
    <t>Entradas de tensão de 115 V / Entradas de corrente de 1 A; fundo de escala 40 A (Ith = 100 A)</t>
  </si>
  <si>
    <t>Entradas de tensión de 115 V / Entradas de corriente de 1 A; plena escala 40 A (Ith = 100 A)</t>
  </si>
  <si>
    <t>E</t>
  </si>
  <si>
    <t>Adicionada a opção de placa analogica com entradas de 40xIn de faixa de medição</t>
  </si>
  <si>
    <t>Se ha agregado la opción de tarjeta analógica con entradas de 40xIn de rango de medición</t>
  </si>
  <si>
    <t xml:space="preserve">Added option of analog input boards with 40xIn measurement range </t>
  </si>
  <si>
    <t>Voltage inputs 115 V / Current inputs 5 A; full-scale 200 A (Ith = 200 A)</t>
  </si>
  <si>
    <t>Entradas de tensão de 115 V / Entradas de corrente de 5 A; fundo de escala 200 A (Ith = 200 A)</t>
  </si>
  <si>
    <t>Entradas de tensión de 115 V / Entradas de corriente de 5 A; plena escala 200 A (Ith = 200 A)</t>
  </si>
  <si>
    <t>F</t>
  </si>
  <si>
    <t>Voltage inputs 115 V / Current inputs 1 A; full-scale 20 A (Ith = 40 A) (withdrawn)</t>
  </si>
  <si>
    <t>Voltage inputs 115 V / Current inputs 5 A; full-scale 14 A (Ith = 32 A) (withdrawn)</t>
  </si>
  <si>
    <t>Entradas de tensão de 115 V / Entradas de corrente de 1 A; fundo de escala 20 A (Ith = 40 A) (descontinuada)</t>
  </si>
  <si>
    <t>Entradas de tensão de 115 V / Entradas de corrente de 5 A; fundo de escala 14 A (Ith = 32 A) (descontinuada)</t>
  </si>
  <si>
    <t>Entradas de tensión de 115 V / Entradas de corriente de 1 A; plena escala 20 A (Ith = 40 A) (withdrawn)</t>
  </si>
  <si>
    <t>Entradas de tensión de 115 V / Entradas de corriente de 5 A; plena escala 14 A (Ith = 32 A) (withdrawn)</t>
  </si>
  <si>
    <t>Boards &amp; Accessories</t>
  </si>
  <si>
    <t>RA-AI-2</t>
  </si>
  <si>
    <t>Analog inputs board for RA331/332/333 with 4 analog inputs - 1 A / 115 V</t>
  </si>
  <si>
    <t>Analog inputs board for RA331/332/333 with 4 analog inputs - 5 A / 115 V</t>
  </si>
  <si>
    <t>RA-AI-6</t>
  </si>
  <si>
    <t>RA-AI-D</t>
  </si>
  <si>
    <t>Analog inputs board for RA331/332/333 with 4 analog inputs - 0-20 mA / ± 10 V</t>
  </si>
  <si>
    <t>RA-AI-P</t>
  </si>
  <si>
    <t>Analog inputs board for RA331/332/333 with 4 analog inputs - 100 mA / 115 V</t>
  </si>
  <si>
    <t>RA-IO-1</t>
  </si>
  <si>
    <t>Digital inputs board for RA331/332/333 with 16 digital inputs - 24 / 48 V</t>
  </si>
  <si>
    <t>RA-IO-2</t>
  </si>
  <si>
    <t>Digital inputs board for RA331/332/333 with 16 digital inputs - 125 V</t>
  </si>
  <si>
    <t>RA-IO-3</t>
  </si>
  <si>
    <t>Digital inputs board for RA331/332/333 with 16 digital inputs - 250 V</t>
  </si>
  <si>
    <t>Q062</t>
  </si>
  <si>
    <t>Mounting Panel for installation of one/two RA331/332/333/MU320 in 19-inch rack</t>
  </si>
  <si>
    <t>The boards and accessories can be ordered separetely from the product using the respective ordering  codes below</t>
  </si>
  <si>
    <t>Ordering Code</t>
  </si>
  <si>
    <t>Board code in the CORTEC</t>
  </si>
  <si>
    <t>--</t>
  </si>
  <si>
    <t>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t>
  </si>
  <si>
    <t>Voltage inputs 115 V / Current inputs 5 A; full-scale 100 A (Ith = 200 A) (withdrawn)</t>
  </si>
  <si>
    <t>Entradas de tensão de 115 V / Entradas de corrente de 5 A; fundo de escala 100 A (Ith = 200 A) (descontinuada)</t>
  </si>
  <si>
    <t>Entradas de tensión de 115 V / Entradas de corriente de 5 A; plena escala 100 A (Ith = 200 A) (withdrawn)</t>
  </si>
  <si>
    <t>G</t>
  </si>
  <si>
    <t>Analog Inputs Option 5 – Voltage inputs 115 V / Current inputs 5 A; full-scale 100 A withdrawn as per GE Publication GER-4844 and GER-4861</t>
  </si>
  <si>
    <t>Entradas analógicas opção 5 – Entradas de tensão de 115 V / Entradas de corrente de 5 A; fundo de escala 100 A descontinuada como descrito na publicação GE GER-4844 e GER-4861</t>
  </si>
  <si>
    <t>Entradas analogicas opción 5 - Entradas de tensión de 115 V / Entradas de corriente de 5 A; plena escala 100 A (Ith = 200 A) descontinuada como se describe en la publicación GE GER-4844 y GER-4861</t>
  </si>
  <si>
    <t>24-48 Vcc (obsoleta)</t>
  </si>
  <si>
    <t>24-48 Vcc (withdrawn)</t>
  </si>
  <si>
    <t>24-48 Vdc (withdrawn)</t>
  </si>
  <si>
    <t>H</t>
  </si>
  <si>
    <t>Withdraw Low Voltage Power Supply by CID006764 - 12/15/2021, plese refer to End-of-manufacturing notice GER-4900</t>
  </si>
  <si>
    <t>Fonte de baixa tensão descontinuada pelo CID006764 - 12/15/2021, referenciado pela nota de descontinuação GER-4900</t>
  </si>
  <si>
    <t>Retire la fuente de alimentación de bajo voltaje antes del CID006764 - 15/12/2021, consulte el aviso de fin de fabricación GER-4900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</si>
</sst>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strike/>
      <sz val="10"/>
      <name val="Arial"/>
      <family val="2"/>
    </font>
    <font>
      <b/>
      <sz val="11"/>
      <name val="Arial"/>
      <family val="2"/>
    </font>
    <font>
      <sz val="10"/>
      <name val="Arial"/>
      <family val="2"/>
    </font>
    <font>
      <sz val="11"/>
      <color rgb="FFFF0000"/>
      <name val="Arial"/>
      <family val="2"/>
    </font>
    <font>
      <sz val="9"/>
      <color theme="1"/>
      <name val="Arial"/>
      <family val="2"/>
    </font>
    <font>
      <b/>
      <sz val="9"/>
      <color theme="0"/>
      <name val="Arial"/>
      <family val="2"/>
    </font>
    <font>
      <b/>
      <sz val="16"/>
      <color rgb="FFFF0000"/>
      <name val="Arial"/>
      <family val="2"/>
    </font>
    <font>
      <sz val="11"/>
      <color theme="0"/>
      <name val="Calibri"/>
      <family val="2"/>
      <scheme val="minor"/>
    </font>
  </fonts>
  <fills count="14">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s>
  <borders count="37">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2" fillId="0" borderId="0"/>
    <xf numFmtId="0" fontId="3" fillId="0" borderId="0"/>
  </cellStyleXfs>
  <cellXfs count="247">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4" xfId="0" applyFont="1" applyBorder="1" applyAlignment="1" applyProtection="1">
      <alignment horizontal="center" vertical="center"/>
      <protection locked="0"/>
    </xf>
    <xf numFmtId="0" fontId="8" fillId="0" borderId="1"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8" fillId="0" borderId="5"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0" fillId="0" borderId="10" xfId="0" applyFont="1" applyBorder="1"/>
    <xf numFmtId="0" fontId="8" fillId="0" borderId="11" xfId="0" applyFont="1" applyBorder="1" applyAlignment="1">
      <alignment horizontal="center"/>
    </xf>
    <xf numFmtId="0" fontId="8" fillId="0" borderId="6" xfId="0" applyFont="1" applyBorder="1"/>
    <xf numFmtId="0" fontId="8" fillId="0" borderId="7" xfId="0" applyFont="1" applyBorder="1"/>
    <xf numFmtId="0" fontId="8" fillId="0" borderId="11" xfId="0" applyFont="1" applyBorder="1"/>
    <xf numFmtId="0" fontId="10" fillId="0" borderId="0" xfId="0" applyFont="1" applyBorder="1"/>
    <xf numFmtId="0" fontId="8" fillId="2" borderId="10" xfId="0" applyFont="1" applyFill="1" applyBorder="1" applyAlignment="1">
      <alignment horizontal="center"/>
    </xf>
    <xf numFmtId="0" fontId="8" fillId="0" borderId="12" xfId="0" applyFont="1" applyBorder="1" applyAlignment="1">
      <alignment horizontal="center"/>
    </xf>
    <xf numFmtId="0" fontId="8" fillId="2" borderId="6" xfId="0" applyFont="1" applyFill="1" applyBorder="1" applyAlignment="1">
      <alignment horizontal="center"/>
    </xf>
    <xf numFmtId="0" fontId="8" fillId="0" borderId="5" xfId="0" applyFont="1" applyBorder="1"/>
    <xf numFmtId="0" fontId="8" fillId="0" borderId="8" xfId="0" applyFont="1" applyBorder="1"/>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10"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8" xfId="0" applyFont="1" applyFill="1" applyBorder="1" applyAlignment="1">
      <alignment horizontal="center" vertical="center"/>
    </xf>
    <xf numFmtId="0" fontId="13" fillId="0" borderId="0" xfId="0" applyFont="1"/>
    <xf numFmtId="0" fontId="7" fillId="0" borderId="13" xfId="0" applyFont="1" applyBorder="1"/>
    <xf numFmtId="0" fontId="15" fillId="0" borderId="13" xfId="0" applyFont="1" applyBorder="1"/>
    <xf numFmtId="0" fontId="15" fillId="0" borderId="4" xfId="0" applyFont="1" applyBorder="1"/>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16" fillId="0" borderId="8" xfId="0" applyFont="1" applyBorder="1"/>
    <xf numFmtId="0" fontId="7" fillId="0" borderId="0" xfId="0" applyFont="1" applyBorder="1"/>
    <xf numFmtId="0" fontId="17" fillId="0" borderId="8" xfId="0" applyFont="1" applyBorder="1"/>
    <xf numFmtId="0" fontId="18" fillId="0" borderId="15" xfId="0" applyFont="1" applyBorder="1"/>
    <xf numFmtId="0" fontId="18" fillId="0" borderId="13" xfId="0" applyFont="1" applyBorder="1"/>
    <xf numFmtId="0" fontId="2" fillId="0" borderId="16" xfId="2" applyBorder="1"/>
    <xf numFmtId="0" fontId="2" fillId="0" borderId="0" xfId="2" applyBorder="1"/>
    <xf numFmtId="0" fontId="2" fillId="0" borderId="16" xfId="2" applyBorder="1" applyAlignment="1">
      <alignment horizontal="center"/>
    </xf>
    <xf numFmtId="0" fontId="7" fillId="0" borderId="17" xfId="0" applyFont="1" applyBorder="1"/>
    <xf numFmtId="0" fontId="7" fillId="0" borderId="18" xfId="0" applyFont="1" applyBorder="1"/>
    <xf numFmtId="0" fontId="7" fillId="0" borderId="19" xfId="0" applyFont="1" applyBorder="1"/>
    <xf numFmtId="0" fontId="7" fillId="0" borderId="20" xfId="0" applyFont="1" applyBorder="1"/>
    <xf numFmtId="16" fontId="7" fillId="0" borderId="17" xfId="0" applyNumberFormat="1" applyFont="1" applyBorder="1"/>
    <xf numFmtId="0" fontId="20" fillId="0" borderId="21" xfId="0" applyFont="1" applyBorder="1"/>
    <xf numFmtId="0" fontId="8" fillId="0" borderId="10" xfId="0" quotePrefix="1" applyFont="1" applyBorder="1" applyAlignment="1">
      <alignment horizontal="center"/>
    </xf>
    <xf numFmtId="0" fontId="1" fillId="0" borderId="10" xfId="0" applyFont="1" applyBorder="1" applyAlignment="1">
      <alignment horizontal="center"/>
    </xf>
    <xf numFmtId="0" fontId="2" fillId="0" borderId="0" xfId="2" applyBorder="1" applyAlignment="1">
      <alignment horizontal="center"/>
    </xf>
    <xf numFmtId="0" fontId="2" fillId="0" borderId="0" xfId="2"/>
    <xf numFmtId="0" fontId="6" fillId="6" borderId="5" xfId="2" applyFont="1" applyFill="1" applyBorder="1"/>
    <xf numFmtId="0" fontId="2" fillId="6" borderId="2" xfId="2" applyFill="1" applyBorder="1" applyAlignment="1">
      <alignment horizontal="center"/>
    </xf>
    <xf numFmtId="0" fontId="2" fillId="0" borderId="3" xfId="2" applyFont="1" applyBorder="1"/>
    <xf numFmtId="0" fontId="2" fillId="0" borderId="10" xfId="2" quotePrefix="1" applyFont="1" applyBorder="1" applyAlignment="1">
      <alignment horizontal="center"/>
    </xf>
    <xf numFmtId="0" fontId="2" fillId="0" borderId="10" xfId="2" applyBorder="1" applyAlignment="1">
      <alignment horizontal="center"/>
    </xf>
    <xf numFmtId="0" fontId="2" fillId="0" borderId="10" xfId="2" quotePrefix="1" applyBorder="1" applyAlignment="1">
      <alignment horizontal="center"/>
    </xf>
    <xf numFmtId="0" fontId="5" fillId="0" borderId="8"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8" xfId="2" applyFont="1" applyBorder="1"/>
    <xf numFmtId="0" fontId="2" fillId="0" borderId="0" xfId="2" applyFont="1" applyBorder="1"/>
    <xf numFmtId="0" fontId="2" fillId="0" borderId="0" xfId="2" applyFont="1"/>
    <xf numFmtId="0" fontId="2" fillId="0" borderId="9" xfId="2" applyFont="1" applyBorder="1"/>
    <xf numFmtId="0" fontId="2" fillId="0" borderId="14" xfId="2" applyFont="1" applyBorder="1"/>
    <xf numFmtId="0" fontId="2" fillId="0" borderId="14" xfId="2" applyFont="1" applyBorder="1" applyAlignment="1">
      <alignment horizontal="center"/>
    </xf>
    <xf numFmtId="0" fontId="2" fillId="0" borderId="0" xfId="2" applyFont="1" applyBorder="1" applyAlignment="1">
      <alignment horizontal="center"/>
    </xf>
    <xf numFmtId="0" fontId="2" fillId="0" borderId="10" xfId="2" applyFont="1" applyFill="1" applyBorder="1" applyAlignment="1">
      <alignment horizontal="center"/>
    </xf>
    <xf numFmtId="0" fontId="2" fillId="0" borderId="14" xfId="2" applyFont="1" applyFill="1" applyBorder="1" applyAlignment="1">
      <alignment horizontal="center"/>
    </xf>
    <xf numFmtId="0" fontId="2" fillId="0" borderId="0" xfId="2" applyFont="1" applyFill="1" applyBorder="1" applyAlignment="1">
      <alignment horizontal="center"/>
    </xf>
    <xf numFmtId="0" fontId="21" fillId="0" borderId="0" xfId="2" applyFont="1" applyBorder="1"/>
    <xf numFmtId="0" fontId="21" fillId="0" borderId="0" xfId="2" applyFont="1" applyBorder="1" applyAlignment="1">
      <alignment horizontal="center"/>
    </xf>
    <xf numFmtId="0" fontId="21" fillId="0" borderId="0" xfId="2" applyFont="1" applyFill="1" applyBorder="1" applyAlignment="1">
      <alignment horizontal="center"/>
    </xf>
    <xf numFmtId="0" fontId="21" fillId="8" borderId="0" xfId="2" applyFont="1" applyFill="1" applyBorder="1" applyAlignment="1">
      <alignment horizontal="center"/>
    </xf>
    <xf numFmtId="0" fontId="21" fillId="9" borderId="0" xfId="2" applyFont="1" applyFill="1" applyBorder="1" applyAlignment="1">
      <alignment horizontal="center"/>
    </xf>
    <xf numFmtId="0" fontId="21" fillId="10" borderId="0" xfId="2" applyFont="1" applyFill="1" applyBorder="1" applyAlignment="1">
      <alignment horizontal="center"/>
    </xf>
    <xf numFmtId="0" fontId="2" fillId="0" borderId="0" xfId="2"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10" fillId="2" borderId="10" xfId="0" applyFont="1" applyFill="1" applyBorder="1" applyAlignment="1">
      <alignment horizontal="center"/>
    </xf>
    <xf numFmtId="0" fontId="10" fillId="2" borderId="6" xfId="0" applyFont="1" applyFill="1" applyBorder="1" applyAlignment="1">
      <alignment horizontal="center"/>
    </xf>
    <xf numFmtId="0" fontId="8" fillId="0" borderId="9" xfId="0" applyFont="1" applyBorder="1"/>
    <xf numFmtId="0" fontId="14" fillId="0" borderId="22" xfId="0" applyFont="1" applyBorder="1"/>
    <xf numFmtId="0" fontId="7" fillId="0" borderId="23" xfId="0" applyFont="1" applyBorder="1"/>
    <xf numFmtId="0" fontId="7" fillId="0" borderId="23" xfId="0" applyFont="1" applyBorder="1" applyAlignment="1">
      <alignment horizontal="center" vertical="center"/>
    </xf>
    <xf numFmtId="0" fontId="7" fillId="0" borderId="24" xfId="0" applyFont="1" applyBorder="1"/>
    <xf numFmtId="0" fontId="7" fillId="0" borderId="25" xfId="0" applyFont="1" applyBorder="1"/>
    <xf numFmtId="0" fontId="13" fillId="0" borderId="25" xfId="0" applyFont="1" applyBorder="1"/>
    <xf numFmtId="0" fontId="13" fillId="0" borderId="18" xfId="0" applyFont="1" applyBorder="1"/>
    <xf numFmtId="0" fontId="7" fillId="0" borderId="16" xfId="0" applyFont="1" applyBorder="1"/>
    <xf numFmtId="0" fontId="11" fillId="0" borderId="0" xfId="0" applyFont="1" applyBorder="1"/>
    <xf numFmtId="0" fontId="7" fillId="3" borderId="0" xfId="0" applyFont="1" applyFill="1" applyBorder="1" applyAlignment="1">
      <alignment horizontal="center" vertical="center"/>
    </xf>
    <xf numFmtId="0" fontId="7" fillId="5" borderId="0" xfId="0" applyFont="1" applyFill="1" applyBorder="1" applyAlignment="1">
      <alignment horizontal="center" vertical="center"/>
    </xf>
    <xf numFmtId="0" fontId="7" fillId="0" borderId="26" xfId="0" applyFont="1" applyBorder="1"/>
    <xf numFmtId="0" fontId="7" fillId="0" borderId="19" xfId="0" applyFont="1" applyBorder="1" applyAlignment="1">
      <alignment horizontal="center" vertical="center"/>
    </xf>
    <xf numFmtId="0" fontId="20" fillId="0" borderId="16" xfId="0" applyFont="1" applyBorder="1" applyAlignment="1">
      <alignment vertical="center"/>
    </xf>
    <xf numFmtId="0" fontId="20" fillId="0" borderId="21" xfId="0" applyFont="1" applyBorder="1" applyAlignment="1">
      <alignment vertical="center"/>
    </xf>
    <xf numFmtId="0" fontId="7" fillId="0" borderId="0" xfId="0" applyFont="1" applyBorder="1" applyAlignment="1">
      <alignment vertical="center"/>
    </xf>
    <xf numFmtId="0" fontId="24" fillId="0" borderId="8" xfId="0" applyFont="1" applyBorder="1"/>
    <xf numFmtId="0" fontId="22" fillId="0" borderId="8" xfId="0" applyFont="1" applyBorder="1"/>
    <xf numFmtId="0" fontId="23" fillId="0" borderId="5" xfId="2" applyFont="1" applyBorder="1"/>
    <xf numFmtId="0" fontId="23" fillId="0" borderId="3" xfId="2" applyFont="1" applyBorder="1"/>
    <xf numFmtId="0" fontId="23" fillId="0" borderId="3" xfId="2" applyFont="1" applyBorder="1" applyAlignment="1">
      <alignment horizontal="right"/>
    </xf>
    <xf numFmtId="0" fontId="23" fillId="0" borderId="10" xfId="2" applyFont="1" applyFill="1" applyBorder="1" applyAlignment="1">
      <alignment horizontal="center"/>
    </xf>
    <xf numFmtId="0" fontId="2" fillId="0" borderId="13" xfId="2" applyBorder="1" applyAlignment="1">
      <alignment horizontal="center"/>
    </xf>
    <xf numFmtId="0" fontId="2" fillId="0" borderId="14" xfId="2" applyBorder="1" applyAlignment="1">
      <alignment horizontal="center"/>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5" fillId="0" borderId="0" xfId="0" applyFont="1" applyAlignment="1">
      <alignment wrapText="1"/>
    </xf>
    <xf numFmtId="0" fontId="25" fillId="11" borderId="10" xfId="0" applyFont="1" applyFill="1" applyBorder="1" applyAlignment="1">
      <alignment horizontal="center" vertical="center"/>
    </xf>
    <xf numFmtId="0" fontId="25" fillId="11" borderId="13" xfId="0" applyFont="1" applyFill="1" applyBorder="1"/>
    <xf numFmtId="0" fontId="25" fillId="11" borderId="10" xfId="0" applyFont="1" applyFill="1" applyBorder="1" applyAlignment="1">
      <alignment horizontal="center"/>
    </xf>
    <xf numFmtId="0" fontId="25" fillId="0" borderId="0" xfId="0" applyFont="1" applyBorder="1"/>
    <xf numFmtId="0" fontId="25" fillId="0" borderId="7" xfId="0" applyFont="1" applyBorder="1" applyAlignment="1">
      <alignment horizontal="center" vertical="center"/>
    </xf>
    <xf numFmtId="0" fontId="25" fillId="0" borderId="7" xfId="0" applyFont="1" applyBorder="1" applyAlignment="1">
      <alignment horizontal="center"/>
    </xf>
    <xf numFmtId="0" fontId="25" fillId="0" borderId="11" xfId="0" applyFont="1" applyBorder="1" applyAlignment="1">
      <alignment horizontal="center" vertical="center"/>
    </xf>
    <xf numFmtId="0" fontId="25" fillId="0" borderId="14" xfId="0" applyFont="1" applyBorder="1"/>
    <xf numFmtId="0" fontId="25" fillId="0" borderId="11" xfId="0" applyFont="1" applyBorder="1" applyAlignment="1">
      <alignment horizontal="center"/>
    </xf>
    <xf numFmtId="0" fontId="0" fillId="0" borderId="0" xfId="0" applyAlignment="1">
      <alignment wrapText="1"/>
    </xf>
    <xf numFmtId="0" fontId="25" fillId="0" borderId="0" xfId="0" applyFont="1" applyAlignment="1">
      <alignment vertical="center" wrapText="1"/>
    </xf>
    <xf numFmtId="0" fontId="3" fillId="0" borderId="16" xfId="3" applyBorder="1"/>
    <xf numFmtId="0" fontId="3" fillId="0" borderId="0" xfId="3" applyBorder="1"/>
    <xf numFmtId="0" fontId="3" fillId="0" borderId="18" xfId="3" applyBorder="1"/>
    <xf numFmtId="0" fontId="3" fillId="0" borderId="26" xfId="3" applyBorder="1"/>
    <xf numFmtId="0" fontId="3" fillId="0" borderId="19" xfId="3" applyBorder="1"/>
    <xf numFmtId="0" fontId="3" fillId="0" borderId="20" xfId="3" applyBorder="1"/>
    <xf numFmtId="0" fontId="2" fillId="6" borderId="4" xfId="2" applyFill="1" applyBorder="1" applyAlignment="1"/>
    <xf numFmtId="0" fontId="8" fillId="0" borderId="15"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9" fillId="0" borderId="7" xfId="0" applyNumberFormat="1" applyFont="1" applyBorder="1" applyAlignment="1">
      <alignment horizontal="center" vertical="center"/>
    </xf>
    <xf numFmtId="14" fontId="8" fillId="0" borderId="10"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14" fontId="8" fillId="0" borderId="7" xfId="0" applyNumberFormat="1" applyFont="1" applyBorder="1" applyAlignment="1">
      <alignment horizontal="center" vertical="center"/>
    </xf>
    <xf numFmtId="0" fontId="26" fillId="12" borderId="9" xfId="0" applyFont="1" applyFill="1" applyBorder="1" applyAlignment="1">
      <alignment horizontal="center"/>
    </xf>
    <xf numFmtId="0" fontId="26" fillId="12" borderId="11" xfId="0" applyFont="1" applyFill="1" applyBorder="1" applyAlignment="1">
      <alignment horizontal="center"/>
    </xf>
    <xf numFmtId="14" fontId="26" fillId="12" borderId="1" xfId="0" applyNumberFormat="1" applyFont="1" applyFill="1" applyBorder="1" applyAlignment="1">
      <alignment horizontal="center" vertical="center"/>
    </xf>
    <xf numFmtId="14" fontId="26" fillId="12" borderId="0" xfId="0" applyNumberFormat="1" applyFont="1" applyFill="1" applyBorder="1" applyAlignment="1">
      <alignment horizontal="center" vertical="center"/>
    </xf>
    <xf numFmtId="0" fontId="8" fillId="0" borderId="10" xfId="0" applyFont="1" applyBorder="1" applyAlignment="1">
      <alignment horizontal="center"/>
    </xf>
    <xf numFmtId="0" fontId="8" fillId="13" borderId="4" xfId="0" applyFont="1" applyFill="1" applyBorder="1" applyAlignment="1" applyProtection="1">
      <alignment horizontal="center" vertical="center"/>
      <protection locked="0"/>
    </xf>
    <xf numFmtId="0" fontId="8" fillId="13" borderId="1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0" xfId="0" applyFont="1" applyBorder="1"/>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5" xfId="0" applyNumberFormat="1" applyFont="1" applyBorder="1" applyAlignment="1">
      <alignment horizontal="center" vertical="center"/>
    </xf>
    <xf numFmtId="0" fontId="4" fillId="0" borderId="8"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8" fillId="0" borderId="11" xfId="0" applyFont="1" applyBorder="1" applyAlignment="1">
      <alignment horizontal="center" vertical="center"/>
    </xf>
    <xf numFmtId="0" fontId="8" fillId="0" borderId="14" xfId="0" applyFont="1" applyBorder="1"/>
    <xf numFmtId="0" fontId="8" fillId="0" borderId="12" xfId="0" applyFont="1" applyBorder="1" applyAlignment="1">
      <alignment horizontal="center" vertical="center"/>
    </xf>
    <xf numFmtId="14" fontId="26" fillId="12" borderId="6" xfId="0" applyNumberFormat="1" applyFont="1" applyFill="1" applyBorder="1" applyAlignment="1">
      <alignment horizontal="center" vertical="center"/>
    </xf>
    <xf numFmtId="0" fontId="8" fillId="13" borderId="10" xfId="0" applyFont="1" applyFill="1" applyBorder="1" applyAlignment="1" applyProtection="1">
      <alignment horizontal="center" vertical="center"/>
      <protection locked="0"/>
    </xf>
    <xf numFmtId="0" fontId="9" fillId="0" borderId="0" xfId="0" applyFont="1" applyAlignment="1">
      <alignment horizontal="right"/>
    </xf>
    <xf numFmtId="0" fontId="25" fillId="0" borderId="10" xfId="0" applyFont="1" applyBorder="1" applyAlignment="1">
      <alignment horizontal="left"/>
    </xf>
    <xf numFmtId="0" fontId="25" fillId="0" borderId="10"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9" fillId="0" borderId="0" xfId="0" applyFont="1" applyBorder="1" applyAlignment="1">
      <alignment horizontal="center"/>
    </xf>
    <xf numFmtId="0" fontId="10" fillId="0" borderId="10" xfId="0" applyFont="1" applyBorder="1" applyAlignment="1">
      <alignment horizontal="center"/>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25" fillId="0" borderId="0" xfId="0" applyFont="1" applyAlignment="1">
      <alignment horizontal="left" vertical="center"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14" fontId="2" fillId="0" borderId="8" xfId="2" applyNumberFormat="1" applyFont="1" applyBorder="1"/>
    <xf numFmtId="0" fontId="23" fillId="0" borderId="10" xfId="2" applyFont="1" applyBorder="1" applyAlignment="1">
      <alignment horizontal="center"/>
    </xf>
    <xf numFmtId="0" fontId="2" fillId="0" borderId="12" xfId="2" applyBorder="1" applyAlignment="1">
      <alignment horizontal="center"/>
    </xf>
    <xf numFmtId="4" fontId="10" fillId="0" borderId="35" xfId="0" applyNumberFormat="1" applyFont="1" applyBorder="1" applyAlignment="1">
      <alignment horizontal="center" vertical="center" wrapText="1"/>
    </xf>
    <xf numFmtId="0" fontId="7" fillId="0" borderId="36" xfId="0" applyFont="1" applyBorder="1"/>
    <xf numFmtId="4" fontId="10" fillId="0" borderId="23" xfId="0" applyNumberFormat="1" applyFont="1" applyBorder="1" applyAlignment="1">
      <alignment horizontal="center" vertical="center" wrapText="1"/>
    </xf>
    <xf numFmtId="4" fontId="8" fillId="0" borderId="16" xfId="0" applyNumberFormat="1" applyFont="1" applyBorder="1" applyAlignment="1">
      <alignment vertical="center"/>
    </xf>
    <xf numFmtId="4" fontId="8" fillId="0" borderId="0" xfId="0" applyNumberFormat="1" applyFont="1" applyBorder="1" applyAlignment="1">
      <alignment vertical="center"/>
    </xf>
    <xf numFmtId="0" fontId="27" fillId="0" borderId="0" xfId="0" applyFont="1" applyAlignment="1">
      <alignment vertical="center"/>
    </xf>
    <xf numFmtId="4" fontId="8" fillId="0" borderId="19" xfId="0" applyNumberFormat="1" applyFont="1" applyBorder="1" applyAlignment="1">
      <alignment vertical="center"/>
    </xf>
    <xf numFmtId="4" fontId="7" fillId="0" borderId="0" xfId="0" applyNumberFormat="1" applyFont="1" applyAlignment="1">
      <alignment vertical="center"/>
    </xf>
    <xf numFmtId="0" fontId="7" fillId="5"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xf>
    <xf numFmtId="14" fontId="2" fillId="0" borderId="10" xfId="2" applyNumberFormat="1" applyFont="1" applyBorder="1" applyAlignment="1">
      <alignment horizontal="center"/>
    </xf>
    <xf numFmtId="14" fontId="14" fillId="0" borderId="10" xfId="0" applyNumberFormat="1" applyFont="1" applyBorder="1"/>
    <xf numFmtId="0" fontId="8" fillId="0" borderId="4" xfId="0" applyFont="1" applyBorder="1"/>
    <xf numFmtId="0" fontId="8" fillId="0" borderId="4" xfId="0" applyFont="1" applyBorder="1" applyAlignment="1">
      <alignment horizontal="center"/>
    </xf>
    <xf numFmtId="0" fontId="2" fillId="8" borderId="1" xfId="2" applyFill="1" applyBorder="1" applyAlignment="1">
      <alignment horizontal="center"/>
    </xf>
    <xf numFmtId="0" fontId="25" fillId="0" borderId="0" xfId="0" applyFont="1" applyAlignment="1">
      <alignment wrapText="1"/>
    </xf>
    <xf numFmtId="0" fontId="7" fillId="0" borderId="0" xfId="0" applyFont="1"/>
    <xf numFmtId="0" fontId="7" fillId="0" borderId="0" xfId="0" applyFont="1" applyBorder="1"/>
    <xf numFmtId="16" fontId="7" fillId="0" borderId="17" xfId="0" applyNumberFormat="1" applyFont="1" applyBorder="1"/>
    <xf numFmtId="0" fontId="25" fillId="0" borderId="0" xfId="0" applyFont="1" applyAlignment="1">
      <alignment wrapText="1"/>
    </xf>
    <xf numFmtId="0" fontId="5" fillId="0" borderId="10" xfId="2" applyFont="1" applyBorder="1" applyAlignment="1">
      <alignment horizontal="center" vertical="center"/>
    </xf>
    <xf numFmtId="14" fontId="2" fillId="0" borderId="13" xfId="2" applyNumberFormat="1" applyFont="1" applyBorder="1" applyAlignment="1">
      <alignment vertical="center"/>
    </xf>
    <xf numFmtId="0" fontId="21" fillId="0" borderId="8" xfId="2" applyFont="1" applyBorder="1"/>
    <xf numFmtId="0" fontId="21" fillId="0" borderId="10" xfId="2" applyFont="1" applyFill="1" applyBorder="1" applyAlignment="1">
      <alignment horizontal="center"/>
    </xf>
    <xf numFmtId="0" fontId="25" fillId="0" borderId="0" xfId="0" applyFont="1" applyAlignment="1">
      <alignment vertical="center"/>
    </xf>
    <xf numFmtId="0" fontId="0" fillId="0" borderId="0" xfId="0" applyFont="1"/>
    <xf numFmtId="0" fontId="28" fillId="12" borderId="10" xfId="0" applyFont="1" applyFill="1" applyBorder="1" applyAlignment="1">
      <alignment horizontal="center" vertical="center"/>
    </xf>
    <xf numFmtId="0" fontId="0" fillId="0" borderId="10" xfId="0" applyBorder="1" applyAlignment="1">
      <alignment horizontal="center"/>
    </xf>
    <xf numFmtId="0" fontId="28" fillId="12" borderId="10" xfId="0" applyFont="1" applyFill="1" applyBorder="1" applyAlignment="1">
      <alignment horizontal="center" vertical="center" wrapText="1"/>
    </xf>
    <xf numFmtId="0" fontId="0" fillId="0" borderId="10" xfId="0" quotePrefix="1" applyBorder="1" applyAlignment="1">
      <alignment horizontal="center"/>
    </xf>
    <xf numFmtId="0" fontId="21" fillId="0" borderId="8" xfId="2" applyFont="1" applyBorder="1" applyAlignment="1">
      <alignment horizont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6" fillId="6" borderId="13" xfId="2" applyFont="1" applyFill="1" applyBorder="1" applyAlignment="1">
      <alignment horizontal="right"/>
    </xf>
    <xf numFmtId="0" fontId="2" fillId="0" borderId="15" xfId="2" applyFont="1" applyBorder="1" applyAlignment="1">
      <alignment horizontal="left" vertical="center" wrapText="1"/>
    </xf>
    <xf numFmtId="0" fontId="2" fillId="0" borderId="13" xfId="2" applyFont="1" applyBorder="1" applyAlignment="1">
      <alignment horizontal="left" vertical="center" wrapText="1"/>
    </xf>
    <xf numFmtId="0" fontId="2" fillId="0" borderId="15" xfId="2" applyFont="1" applyBorder="1" applyAlignment="1">
      <alignment horizontal="left" vertical="center"/>
    </xf>
    <xf numFmtId="0" fontId="2" fillId="0" borderId="13" xfId="2" applyFont="1" applyBorder="1" applyAlignment="1">
      <alignment horizontal="left" vertical="center"/>
    </xf>
    <xf numFmtId="0" fontId="28" fillId="12" borderId="0" xfId="0" applyFont="1" applyFill="1" applyAlignment="1">
      <alignment horizontal="center" vertical="center"/>
    </xf>
    <xf numFmtId="0" fontId="0" fillId="0" borderId="0" xfId="0" applyAlignment="1">
      <alignment vertical="center" wrapText="1"/>
    </xf>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Language!$A$3" fmlaRange="Language!$B$4:$B$6" noThreeD="1" sel="1" val="0"/>
</file>

<file path=xl/ctrlProps/ctrlProp2.xml><?xml version="1.0" encoding="utf-8"?>
<formControlPr xmlns="http://schemas.microsoft.com/office/spreadsheetml/2009/9/main" objectType="List" dx="16" fmlaLink="Database!$D$4" fmlaRange="Database!$E$5" noThreeD="1" sel="1" val="0"/>
</file>

<file path=xl/ctrlProps/ctrlProp3.xml><?xml version="1.0" encoding="utf-8"?>
<formControlPr xmlns="http://schemas.microsoft.com/office/spreadsheetml/2009/9/main" objectType="List" dx="16" fmlaLink="Database!$D$9" fmlaRange="Database!$E$10:$E$14" noThreeD="1" sel="3" val="0"/>
</file>

<file path=xl/ctrlProps/ctrlProp4.xml><?xml version="1.0" encoding="utf-8"?>
<formControlPr xmlns="http://schemas.microsoft.com/office/spreadsheetml/2009/9/main" objectType="List" dx="16" fmlaLink="Database!$D$19" fmlaRange="Database!$E$20:$E$24" noThreeD="1" sel="2" val="0"/>
</file>

<file path=xl/ctrlProps/ctrlProp5.xml><?xml version="1.0" encoding="utf-8"?>
<formControlPr xmlns="http://schemas.microsoft.com/office/spreadsheetml/2009/9/main" objectType="List" dx="16" fmlaLink="Database!$D$29" fmlaRange="Database!$E$30:$E$33" noThreeD="1" sel="4" val="0"/>
</file>

<file path=xl/ctrlProps/ctrlProp6.xml><?xml version="1.0" encoding="utf-8"?>
<formControlPr xmlns="http://schemas.microsoft.com/office/spreadsheetml/2009/9/main" objectType="List" dx="16" fmlaLink="Database!$D$35" fmlaRange="Database!$E$36:$E$39" noThreeD="1" sel="3" val="0"/>
</file>

<file path=xl/ctrlProps/ctrlProp7.xml><?xml version="1.0" encoding="utf-8"?>
<formControlPr xmlns="http://schemas.microsoft.com/office/spreadsheetml/2009/9/main" objectType="List" dx="16" fmlaLink="Database!$D$41" fmlaRange="Database!$E$42" noThreeD="1" sel="1" val="0"/>
</file>

<file path=xl/ctrlProps/ctrlProp8.xml><?xml version="1.0" encoding="utf-8"?>
<formControlPr xmlns="http://schemas.microsoft.com/office/spreadsheetml/2009/9/main" objectType="List" dx="16" fmlaLink="Database!$D$45" fmlaRange="Database!$E$46:$E$4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6" name="List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5</xdr:col>
          <xdr:colOff>676275</xdr:colOff>
          <xdr:row>5</xdr:row>
          <xdr:rowOff>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5</xdr:col>
          <xdr:colOff>676275</xdr:colOff>
          <xdr:row>6</xdr:row>
          <xdr:rowOff>809625</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0</xdr:rowOff>
        </xdr:from>
        <xdr:to>
          <xdr:col>6</xdr:col>
          <xdr:colOff>0</xdr:colOff>
          <xdr:row>9</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0</xdr:colOff>
          <xdr:row>11</xdr:row>
          <xdr:rowOff>9525</xdr:rowOff>
        </xdr:to>
        <xdr:sp macro="" textlink="">
          <xdr:nvSpPr>
            <xdr:cNvPr id="8201" name="List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6</xdr:col>
          <xdr:colOff>9525</xdr:colOff>
          <xdr:row>12</xdr:row>
          <xdr:rowOff>533400</xdr:rowOff>
        </xdr:to>
        <xdr:sp macro="" textlink="">
          <xdr:nvSpPr>
            <xdr:cNvPr id="8203" name="List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6</xdr:col>
          <xdr:colOff>9525</xdr:colOff>
          <xdr:row>15</xdr:row>
          <xdr:rowOff>0</xdr:rowOff>
        </xdr:to>
        <xdr:sp macro="" textlink="">
          <xdr:nvSpPr>
            <xdr:cNvPr id="8232" name="List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5</xdr:col>
          <xdr:colOff>676275</xdr:colOff>
          <xdr:row>17</xdr:row>
          <xdr:rowOff>0</xdr:rowOff>
        </xdr:to>
        <xdr:sp macro="" textlink="">
          <xdr:nvSpPr>
            <xdr:cNvPr id="8233" name="List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2:J15"/>
  <sheetViews>
    <sheetView showGridLines="0" showRowColHeaders="0" tabSelected="1" workbookViewId="0">
      <selection activeCell="B20" sqref="B20"/>
    </sheetView>
  </sheetViews>
  <sheetFormatPr defaultColWidth="10.28515625" defaultRowHeight="14.25" x14ac:dyDescent="0.2"/>
  <cols>
    <col min="1" max="1" width="4.140625" style="1" customWidth="1"/>
    <col min="2" max="9" width="11.42578125" style="1" customWidth="1"/>
    <col min="10" max="10" width="45.7109375" style="1" customWidth="1"/>
    <col min="11" max="16384" width="10.28515625" style="1"/>
  </cols>
  <sheetData>
    <row r="2" spans="2:10" ht="15" thickBot="1" x14ac:dyDescent="0.25"/>
    <row r="3" spans="2:10" ht="15" customHeight="1" thickTop="1" x14ac:dyDescent="0.2">
      <c r="B3" s="228" t="str">
        <f>HLOOKUP(Language!$C$3,Language!$E$1:$Z565,32,FALSE)</f>
        <v xml:space="preserve">Our policy is one of continuous development. Accordingly the design of our products may change at any time. </v>
      </c>
      <c r="C3" s="229"/>
      <c r="D3" s="229"/>
      <c r="E3" s="229"/>
      <c r="F3" s="229"/>
      <c r="G3" s="229"/>
      <c r="H3" s="229"/>
      <c r="I3" s="229"/>
      <c r="J3" s="230"/>
    </row>
    <row r="4" spans="2:10" ht="14.25" customHeight="1" x14ac:dyDescent="0.2">
      <c r="B4" s="231" t="str">
        <f>HLOOKUP(Language!$C$3,Language!$E$1:$Z565,33,FALSE)</f>
        <v>Whilst every effort is made to produce up to date literature, this document should only be regarded as a guide and is intended for information purposes only.</v>
      </c>
      <c r="C4" s="232"/>
      <c r="D4" s="232"/>
      <c r="E4" s="232"/>
      <c r="F4" s="232"/>
      <c r="G4" s="232"/>
      <c r="H4" s="232"/>
      <c r="I4" s="232"/>
      <c r="J4" s="233"/>
    </row>
    <row r="5" spans="2:10" x14ac:dyDescent="0.2">
      <c r="B5" s="231"/>
      <c r="C5" s="232"/>
      <c r="D5" s="232"/>
      <c r="E5" s="232"/>
      <c r="F5" s="232"/>
      <c r="G5" s="232"/>
      <c r="H5" s="232"/>
      <c r="I5" s="232"/>
      <c r="J5" s="233"/>
    </row>
    <row r="6" spans="2:10" ht="14.25" customHeight="1" x14ac:dyDescent="0.2">
      <c r="B6" s="231" t="str">
        <f>HLOOKUP(Language!$C$3,Language!$E$1:$Z565,34,FALSE)</f>
        <v>Its contents do not constitute an offer for sale or advice on the application of any product referred to in it. We cannot be held responsible for any reliance on any decisions taken on its contents without specific advice.</v>
      </c>
      <c r="C6" s="232"/>
      <c r="D6" s="232"/>
      <c r="E6" s="232"/>
      <c r="F6" s="232"/>
      <c r="G6" s="232"/>
      <c r="H6" s="232"/>
      <c r="I6" s="232"/>
      <c r="J6" s="233"/>
    </row>
    <row r="7" spans="2:10" x14ac:dyDescent="0.2">
      <c r="B7" s="231"/>
      <c r="C7" s="232"/>
      <c r="D7" s="232"/>
      <c r="E7" s="232"/>
      <c r="F7" s="232"/>
      <c r="G7" s="232"/>
      <c r="H7" s="232"/>
      <c r="I7" s="232"/>
      <c r="J7" s="233"/>
    </row>
    <row r="8" spans="2:10" ht="3.75" customHeight="1" thickBot="1" x14ac:dyDescent="0.25">
      <c r="B8" s="234"/>
      <c r="C8" s="235"/>
      <c r="D8" s="235"/>
      <c r="E8" s="235"/>
      <c r="F8" s="235"/>
      <c r="G8" s="235"/>
      <c r="H8" s="235"/>
      <c r="I8" s="235"/>
      <c r="J8" s="236"/>
    </row>
    <row r="9" spans="2:10" ht="15" thickTop="1" x14ac:dyDescent="0.2"/>
    <row r="10" spans="2:10" ht="15" thickBot="1" x14ac:dyDescent="0.25"/>
    <row r="11" spans="2:10" ht="15.75" x14ac:dyDescent="0.2">
      <c r="B11" s="237" t="str">
        <f>HLOOKUP(Language!$C$3,Language!$E$1:$Z565,31,FALSE)</f>
        <v>Language Selection</v>
      </c>
      <c r="C11" s="238"/>
      <c r="D11" s="239"/>
    </row>
    <row r="12" spans="2:10" x14ac:dyDescent="0.2">
      <c r="B12" s="137"/>
      <c r="C12" s="138"/>
      <c r="D12" s="139"/>
    </row>
    <row r="13" spans="2:10" x14ac:dyDescent="0.2">
      <c r="B13" s="137"/>
      <c r="C13" s="138"/>
      <c r="D13" s="139"/>
    </row>
    <row r="14" spans="2:10" x14ac:dyDescent="0.2">
      <c r="B14" s="137"/>
      <c r="C14" s="138"/>
      <c r="D14" s="139"/>
    </row>
    <row r="15" spans="2:10" ht="15" thickBot="1" x14ac:dyDescent="0.25">
      <c r="B15" s="140"/>
      <c r="C15" s="141"/>
      <c r="D15" s="142"/>
    </row>
  </sheetData>
  <sheetProtection password="C927"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6" r:id="rId4" name="List Box 6">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0"/>
  <sheetViews>
    <sheetView showGridLines="0" showRowColHeaders="0" workbookViewId="0">
      <selection activeCell="E9" sqref="E9"/>
    </sheetView>
  </sheetViews>
  <sheetFormatPr defaultColWidth="33.5703125" defaultRowHeight="12.75" x14ac:dyDescent="0.2"/>
  <cols>
    <col min="1" max="1" width="8.140625" style="62" customWidth="1"/>
    <col min="2" max="2" width="19" style="62" customWidth="1"/>
    <col min="3" max="3" width="52" style="62" customWidth="1"/>
    <col min="4" max="4" width="12.7109375" style="92" customWidth="1"/>
    <col min="5" max="11" width="2.7109375" style="92" customWidth="1"/>
    <col min="12" max="253" width="9.140625" style="62" customWidth="1"/>
    <col min="254" max="254" width="8.140625" style="62" customWidth="1"/>
    <col min="255" max="255" width="19" style="62" customWidth="1"/>
    <col min="256" max="16384" width="33.5703125" style="62"/>
  </cols>
  <sheetData>
    <row r="1" spans="1:256" x14ac:dyDescent="0.2">
      <c r="A1" s="51" t="str">
        <f>HLOOKUP(Language!$C$3,Language!$E$1:$Z565,35,FALSE)</f>
        <v>Information required with Order:</v>
      </c>
      <c r="B1" s="51"/>
      <c r="C1" s="51"/>
      <c r="D1" s="61"/>
      <c r="E1" s="61"/>
      <c r="F1" s="61"/>
      <c r="G1" s="61"/>
      <c r="H1" s="61"/>
      <c r="I1" s="61"/>
      <c r="J1" s="61"/>
      <c r="K1" s="61"/>
    </row>
    <row r="2" spans="1:256" x14ac:dyDescent="0.2">
      <c r="A2" s="51"/>
      <c r="B2" s="51"/>
      <c r="C2" s="51"/>
      <c r="D2" s="61"/>
      <c r="E2" s="61"/>
      <c r="F2" s="61"/>
      <c r="G2" s="61"/>
      <c r="H2" s="61"/>
      <c r="I2" s="61"/>
      <c r="J2" s="61"/>
      <c r="K2" s="61"/>
      <c r="L2" s="51"/>
    </row>
    <row r="3" spans="1:256" x14ac:dyDescent="0.2">
      <c r="A3" s="63" t="str">
        <f>HLOOKUP(Language!$C$3,Language!$E$1:$Z565,36,FALSE)</f>
        <v>Variants</v>
      </c>
      <c r="B3" s="240" t="str">
        <f>HLOOKUP(Language!$C$3,Language!$E$1:$Z565,37,FALSE)</f>
        <v>Order Number</v>
      </c>
      <c r="C3" s="240"/>
      <c r="D3" s="240"/>
      <c r="E3" s="240"/>
      <c r="F3" s="240"/>
      <c r="G3" s="240"/>
      <c r="H3" s="240"/>
      <c r="I3" s="240"/>
      <c r="J3" s="143"/>
      <c r="K3" s="64"/>
    </row>
    <row r="4" spans="1:256" x14ac:dyDescent="0.2">
      <c r="A4" s="116"/>
      <c r="B4" s="117"/>
      <c r="C4" s="118"/>
      <c r="D4" s="66" t="s">
        <v>8</v>
      </c>
      <c r="E4" s="67">
        <v>6</v>
      </c>
      <c r="F4" s="68">
        <v>7</v>
      </c>
      <c r="G4" s="66">
        <v>8</v>
      </c>
      <c r="H4" s="66">
        <v>9</v>
      </c>
      <c r="I4" s="66">
        <v>10</v>
      </c>
      <c r="J4" s="187">
        <v>11</v>
      </c>
      <c r="K4" s="187">
        <v>12</v>
      </c>
    </row>
    <row r="5" spans="1:256" x14ac:dyDescent="0.2">
      <c r="A5" s="69" t="str">
        <f>'Date Drivers'!B4</f>
        <v>Model Type</v>
      </c>
      <c r="B5" s="51"/>
      <c r="C5" s="51"/>
      <c r="D5" s="70"/>
      <c r="E5" s="71"/>
      <c r="F5" s="72"/>
      <c r="G5" s="70"/>
      <c r="H5" s="73"/>
      <c r="I5" s="74"/>
      <c r="J5" s="75"/>
      <c r="K5" s="211"/>
      <c r="L5" s="51"/>
    </row>
    <row r="6" spans="1:256" x14ac:dyDescent="0.2">
      <c r="A6" s="186" t="str">
        <f>'Date Drivers'!C4</f>
        <v>RA331 Acquisition Module for RPV311</v>
      </c>
      <c r="B6" s="77"/>
      <c r="C6" s="77"/>
      <c r="D6" s="207" t="str">
        <f ca="1">Database!E2</f>
        <v>RA331</v>
      </c>
      <c r="E6" s="71"/>
      <c r="F6" s="72"/>
      <c r="G6" s="70"/>
      <c r="H6" s="73"/>
      <c r="I6" s="74"/>
      <c r="J6" s="75"/>
      <c r="K6" s="211"/>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x14ac:dyDescent="0.2">
      <c r="A7" s="79"/>
      <c r="B7" s="80"/>
      <c r="C7" s="80"/>
      <c r="D7" s="81"/>
      <c r="E7" s="71"/>
      <c r="F7" s="72"/>
      <c r="G7" s="70"/>
      <c r="H7" s="73"/>
      <c r="I7" s="74"/>
      <c r="J7" s="75"/>
      <c r="K7" s="211"/>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x14ac:dyDescent="0.2">
      <c r="A8" s="69" t="str">
        <f ca="1">Database!B4</f>
        <v>Power Supply</v>
      </c>
      <c r="B8" s="77"/>
      <c r="C8" s="77"/>
      <c r="D8" s="82"/>
      <c r="E8" s="71"/>
      <c r="F8" s="72"/>
      <c r="G8" s="70"/>
      <c r="H8" s="73"/>
      <c r="I8" s="74"/>
      <c r="J8" s="75"/>
      <c r="K8" s="211"/>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x14ac:dyDescent="0.2">
      <c r="A9" s="219" t="str">
        <f>'Date Drivers'!$AG$6</f>
        <v>24-48 Vdc (withdrawn)</v>
      </c>
      <c r="B9" s="77"/>
      <c r="C9" s="77"/>
      <c r="D9" s="82"/>
      <c r="E9" s="227">
        <f>'Date Drivers'!$AH$6</f>
        <v>1</v>
      </c>
      <c r="F9" s="72"/>
      <c r="G9" s="70"/>
      <c r="H9" s="73"/>
      <c r="I9" s="74"/>
      <c r="J9" s="75"/>
      <c r="K9" s="211"/>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x14ac:dyDescent="0.2">
      <c r="A10" s="76" t="str">
        <f ca="1">Database!E5</f>
        <v>100-250 Vdc / 110-240 Vac</v>
      </c>
      <c r="B10" s="77"/>
      <c r="C10" s="77"/>
      <c r="D10" s="82"/>
      <c r="E10" s="119">
        <f ca="1">Database!$F5</f>
        <v>3</v>
      </c>
      <c r="F10" s="72"/>
      <c r="G10" s="70"/>
      <c r="H10" s="73"/>
      <c r="I10" s="74"/>
      <c r="J10" s="75"/>
      <c r="K10" s="211"/>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x14ac:dyDescent="0.2">
      <c r="A11" s="79"/>
      <c r="B11" s="80"/>
      <c r="C11" s="80"/>
      <c r="D11" s="81"/>
      <c r="E11" s="84"/>
      <c r="F11" s="72"/>
      <c r="G11" s="70"/>
      <c r="H11" s="73"/>
      <c r="I11" s="74"/>
      <c r="J11" s="75"/>
      <c r="K11" s="211"/>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x14ac:dyDescent="0.2">
      <c r="A12" s="69" t="str">
        <f ca="1">Database!B9</f>
        <v>Analogue Inputs 1 to 4</v>
      </c>
      <c r="B12" s="77"/>
      <c r="C12" s="77"/>
      <c r="D12" s="82"/>
      <c r="E12" s="85"/>
      <c r="F12" s="72"/>
      <c r="G12" s="70"/>
      <c r="H12" s="73"/>
      <c r="I12" s="74"/>
      <c r="J12" s="75"/>
      <c r="K12" s="211"/>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x14ac:dyDescent="0.2">
      <c r="A13" s="219" t="str">
        <f>'Date Drivers'!$W$9</f>
        <v>Voltage inputs 115 V / Current inputs 1 A; full-scale 20 A (Ith = 40 A) (withdrawn)</v>
      </c>
      <c r="B13" s="86"/>
      <c r="C13" s="86"/>
      <c r="D13" s="87"/>
      <c r="E13" s="88"/>
      <c r="F13" s="220">
        <f>'Date Drivers'!$X$9</f>
        <v>1</v>
      </c>
      <c r="G13" s="70"/>
      <c r="H13" s="73"/>
      <c r="I13" s="74"/>
      <c r="J13" s="75"/>
      <c r="K13" s="211"/>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x14ac:dyDescent="0.2">
      <c r="A14" s="76" t="str">
        <f ca="1">Database!E10</f>
        <v>Voltage inputs 115 V / Current inputs 1 A; full-scale 40 A (Ith = 100 A)</v>
      </c>
      <c r="B14" s="77"/>
      <c r="C14" s="77"/>
      <c r="D14" s="82"/>
      <c r="E14" s="85"/>
      <c r="F14" s="83">
        <f ca="1">Database!$F10</f>
        <v>2</v>
      </c>
      <c r="G14" s="70"/>
      <c r="H14" s="73"/>
      <c r="I14" s="74"/>
      <c r="J14" s="75"/>
      <c r="K14" s="211"/>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x14ac:dyDescent="0.2">
      <c r="A15" s="219" t="str">
        <f>'Date Drivers'!$AB$11</f>
        <v>Voltage inputs 115 V / Current inputs 5 A; full-scale 100 A (Ith = 200 A) (withdrawn)</v>
      </c>
      <c r="B15" s="77"/>
      <c r="C15" s="77"/>
      <c r="D15" s="82"/>
      <c r="E15" s="85"/>
      <c r="F15" s="220">
        <f>'Date Drivers'!$AC$11</f>
        <v>5</v>
      </c>
      <c r="G15" s="70"/>
      <c r="H15" s="73"/>
      <c r="I15" s="74"/>
      <c r="J15" s="75"/>
      <c r="K15" s="211"/>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row>
    <row r="16" spans="1:256" x14ac:dyDescent="0.2">
      <c r="A16" s="76" t="str">
        <f ca="1">Database!E11</f>
        <v>Voltage inputs 115 V / Current inputs 5 A; full-scale 200 A (Ith = 200 A)</v>
      </c>
      <c r="B16" s="77"/>
      <c r="C16" s="77"/>
      <c r="D16" s="82"/>
      <c r="E16" s="85"/>
      <c r="F16" s="83">
        <f ca="1">Database!$F11</f>
        <v>6</v>
      </c>
      <c r="G16" s="70"/>
      <c r="H16" s="73"/>
      <c r="I16" s="74"/>
      <c r="J16" s="75"/>
      <c r="K16" s="211"/>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row>
    <row r="17" spans="1:256" x14ac:dyDescent="0.2">
      <c r="A17" s="219" t="str">
        <f>'Date Drivers'!$W$13</f>
        <v>Voltage inputs 115 V / Current inputs 5 A; full-scale 14 A (Ith = 32 A) (withdrawn)</v>
      </c>
      <c r="B17" s="86"/>
      <c r="C17" s="86"/>
      <c r="D17" s="87"/>
      <c r="E17" s="88"/>
      <c r="F17" s="220" t="str">
        <f>'Date Drivers'!$X$13</f>
        <v>T</v>
      </c>
      <c r="G17" s="70"/>
      <c r="H17" s="73"/>
      <c r="I17" s="74"/>
      <c r="J17" s="75"/>
      <c r="K17" s="211"/>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x14ac:dyDescent="0.2">
      <c r="A18" s="76" t="str">
        <f ca="1">Database!E12</f>
        <v>Voltage inputs ±10 Vdc / Current inputs 0-20 mAdc</v>
      </c>
      <c r="B18" s="77"/>
      <c r="C18" s="77"/>
      <c r="D18" s="82"/>
      <c r="E18" s="85"/>
      <c r="F18" s="83" t="str">
        <f ca="1">Database!$F12</f>
        <v>D</v>
      </c>
      <c r="G18" s="70"/>
      <c r="H18" s="73"/>
      <c r="I18" s="74"/>
      <c r="J18" s="75"/>
      <c r="K18" s="211"/>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x14ac:dyDescent="0.2">
      <c r="A19" s="76" t="str">
        <f ca="1">Database!E13</f>
        <v>Voltage inputs 115 V / Current inputs 100 mA; full-scale 100 mA (Ith = 2 A)</v>
      </c>
      <c r="B19" s="77"/>
      <c r="C19" s="77"/>
      <c r="D19" s="82"/>
      <c r="E19" s="85"/>
      <c r="F19" s="83" t="str">
        <f ca="1">Database!$F13</f>
        <v>P</v>
      </c>
      <c r="G19" s="70"/>
      <c r="H19" s="73"/>
      <c r="I19" s="74"/>
      <c r="J19" s="75"/>
      <c r="K19" s="211"/>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x14ac:dyDescent="0.2">
      <c r="A20" s="76" t="str">
        <f ca="1">Database!E14</f>
        <v>Not installed</v>
      </c>
      <c r="B20" s="77"/>
      <c r="C20" s="77"/>
      <c r="D20" s="82"/>
      <c r="E20" s="85"/>
      <c r="F20" s="83" t="str">
        <f ca="1">Database!$F14</f>
        <v>X</v>
      </c>
      <c r="G20" s="70"/>
      <c r="H20" s="73"/>
      <c r="I20" s="74"/>
      <c r="J20" s="75"/>
      <c r="K20" s="211"/>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x14ac:dyDescent="0.2">
      <c r="A21" s="79"/>
      <c r="B21" s="80"/>
      <c r="C21" s="80"/>
      <c r="D21" s="81"/>
      <c r="E21" s="84"/>
      <c r="F21" s="84"/>
      <c r="G21" s="70"/>
      <c r="H21" s="73"/>
      <c r="I21" s="74"/>
      <c r="J21" s="75"/>
      <c r="K21" s="211"/>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x14ac:dyDescent="0.2">
      <c r="A22" s="69" t="str">
        <f ca="1">Database!B19</f>
        <v>Analogue Inputs 5 to 8</v>
      </c>
      <c r="B22" s="77"/>
      <c r="C22" s="77"/>
      <c r="D22" s="82"/>
      <c r="E22" s="85"/>
      <c r="F22" s="85"/>
      <c r="G22" s="70"/>
      <c r="H22" s="73"/>
      <c r="I22" s="74"/>
      <c r="J22" s="75"/>
      <c r="K22" s="211"/>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x14ac:dyDescent="0.2">
      <c r="A23" s="219" t="str">
        <f>'Date Drivers'!$W$9</f>
        <v>Voltage inputs 115 V / Current inputs 1 A; full-scale 20 A (Ith = 40 A) (withdrawn)</v>
      </c>
      <c r="B23" s="86"/>
      <c r="C23" s="86"/>
      <c r="D23" s="87"/>
      <c r="E23" s="88"/>
      <c r="F23" s="88"/>
      <c r="G23" s="220">
        <f>'Date Drivers'!$X$9</f>
        <v>1</v>
      </c>
      <c r="H23" s="73"/>
      <c r="I23" s="74"/>
      <c r="J23" s="75"/>
      <c r="K23" s="211"/>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x14ac:dyDescent="0.2">
      <c r="A24" s="76" t="str">
        <f ca="1">Database!E20</f>
        <v>Voltage inputs 115 V / Current inputs 1 A; full-scale 40 A (Ith = 100 A)</v>
      </c>
      <c r="B24" s="77"/>
      <c r="C24" s="77"/>
      <c r="D24" s="82"/>
      <c r="E24" s="85"/>
      <c r="F24" s="85"/>
      <c r="G24" s="83">
        <f ca="1">Database!$F20</f>
        <v>2</v>
      </c>
      <c r="H24" s="73"/>
      <c r="I24" s="74"/>
      <c r="J24" s="75"/>
      <c r="K24" s="211"/>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row r="25" spans="1:256" x14ac:dyDescent="0.2">
      <c r="A25" s="219" t="str">
        <f>'Date Drivers'!$AB$11</f>
        <v>Voltage inputs 115 V / Current inputs 5 A; full-scale 100 A (Ith = 200 A) (withdrawn)</v>
      </c>
      <c r="B25" s="77"/>
      <c r="C25" s="77"/>
      <c r="D25" s="82"/>
      <c r="E25" s="85"/>
      <c r="F25" s="85"/>
      <c r="G25" s="220">
        <f>'Date Drivers'!$AC$11</f>
        <v>5</v>
      </c>
      <c r="H25" s="73"/>
      <c r="I25" s="74"/>
      <c r="J25" s="75"/>
      <c r="K25" s="211"/>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row>
    <row r="26" spans="1:256" x14ac:dyDescent="0.2">
      <c r="A26" s="76" t="str">
        <f ca="1">Database!E21</f>
        <v>Voltage inputs 115 V / Current inputs 5 A; full-scale 200 A (Ith = 200 A)</v>
      </c>
      <c r="B26" s="77"/>
      <c r="C26" s="77"/>
      <c r="D26" s="82"/>
      <c r="E26" s="85"/>
      <c r="F26" s="85"/>
      <c r="G26" s="83">
        <f ca="1">Database!$F21</f>
        <v>6</v>
      </c>
      <c r="H26" s="73"/>
      <c r="I26" s="74"/>
      <c r="J26" s="75"/>
      <c r="K26" s="211"/>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x14ac:dyDescent="0.2">
      <c r="A27" s="219" t="str">
        <f>'Date Drivers'!$W$13</f>
        <v>Voltage inputs 115 V / Current inputs 5 A; full-scale 14 A (Ith = 32 A) (withdrawn)</v>
      </c>
      <c r="B27" s="86"/>
      <c r="C27" s="86"/>
      <c r="D27" s="87"/>
      <c r="E27" s="88"/>
      <c r="F27" s="88"/>
      <c r="G27" s="220" t="str">
        <f>'Date Drivers'!$X$13</f>
        <v>T</v>
      </c>
      <c r="H27" s="89"/>
      <c r="I27" s="90"/>
      <c r="J27" s="91"/>
      <c r="K27" s="211"/>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x14ac:dyDescent="0.2">
      <c r="A28" s="76" t="str">
        <f ca="1">Database!E22</f>
        <v>Voltage inputs ±10 Vdc / Current inputs 0-20 mAdc</v>
      </c>
      <c r="B28" s="77"/>
      <c r="C28" s="77"/>
      <c r="D28" s="82"/>
      <c r="E28" s="85"/>
      <c r="F28" s="85"/>
      <c r="G28" s="83" t="str">
        <f ca="1">Database!$F22</f>
        <v>D</v>
      </c>
      <c r="H28" s="73"/>
      <c r="I28" s="74"/>
      <c r="J28" s="75"/>
      <c r="K28" s="211"/>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x14ac:dyDescent="0.2">
      <c r="A29" s="76" t="str">
        <f ca="1">Database!E23</f>
        <v>Voltage inputs 115 V / Current inputs 100 mA; full-scale 100 mA (Ith = 2 A)</v>
      </c>
      <c r="B29" s="77"/>
      <c r="C29" s="77"/>
      <c r="D29" s="82"/>
      <c r="E29" s="85"/>
      <c r="F29" s="85"/>
      <c r="G29" s="83" t="str">
        <f ca="1">Database!$F23</f>
        <v>P</v>
      </c>
      <c r="H29" s="73"/>
      <c r="I29" s="74"/>
      <c r="J29" s="75"/>
      <c r="K29" s="211"/>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x14ac:dyDescent="0.2">
      <c r="A30" s="76" t="str">
        <f ca="1">Database!E24</f>
        <v>Not installed</v>
      </c>
      <c r="B30" s="77"/>
      <c r="C30" s="77"/>
      <c r="D30" s="82"/>
      <c r="E30" s="85"/>
      <c r="F30" s="85"/>
      <c r="G30" s="83" t="str">
        <f ca="1">Database!$F24</f>
        <v>X</v>
      </c>
      <c r="H30" s="73"/>
      <c r="I30" s="74"/>
      <c r="J30" s="75"/>
      <c r="K30" s="211"/>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x14ac:dyDescent="0.2">
      <c r="A31" s="79"/>
      <c r="B31" s="80"/>
      <c r="C31" s="80"/>
      <c r="D31" s="81"/>
      <c r="E31" s="84"/>
      <c r="F31" s="84"/>
      <c r="G31" s="84"/>
      <c r="H31" s="73"/>
      <c r="I31" s="74"/>
      <c r="J31" s="75"/>
      <c r="K31" s="211"/>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x14ac:dyDescent="0.2">
      <c r="A32" s="69" t="str">
        <f ca="1">Database!B29</f>
        <v>Digital Inputs 1 to 16</v>
      </c>
      <c r="B32" s="65"/>
      <c r="C32" s="77"/>
      <c r="D32" s="82"/>
      <c r="E32" s="85"/>
      <c r="F32" s="85"/>
      <c r="G32" s="85"/>
      <c r="H32" s="73"/>
      <c r="I32" s="74"/>
      <c r="J32" s="75"/>
      <c r="K32" s="211"/>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row>
    <row r="33" spans="1:256" x14ac:dyDescent="0.2">
      <c r="A33" s="76" t="str">
        <f ca="1">Database!E30</f>
        <v>24 V / 48 V</v>
      </c>
      <c r="B33" s="77"/>
      <c r="C33" s="77"/>
      <c r="D33" s="82"/>
      <c r="E33" s="85"/>
      <c r="F33" s="85"/>
      <c r="G33" s="85"/>
      <c r="H33" s="83">
        <f ca="1">Database!$F30</f>
        <v>1</v>
      </c>
      <c r="I33" s="74"/>
      <c r="J33" s="75"/>
      <c r="K33" s="211"/>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8"/>
      <c r="IV33" s="78"/>
    </row>
    <row r="34" spans="1:256" x14ac:dyDescent="0.2">
      <c r="A34" s="76" t="str">
        <f ca="1">Database!E31</f>
        <v>125 V</v>
      </c>
      <c r="B34" s="77"/>
      <c r="C34" s="77"/>
      <c r="D34" s="82"/>
      <c r="E34" s="85"/>
      <c r="F34" s="85"/>
      <c r="G34" s="85"/>
      <c r="H34" s="83">
        <f ca="1">Database!$F31</f>
        <v>2</v>
      </c>
      <c r="I34" s="74"/>
      <c r="J34" s="75"/>
      <c r="K34" s="211"/>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row>
    <row r="35" spans="1:256" x14ac:dyDescent="0.2">
      <c r="A35" s="76" t="str">
        <f ca="1">Database!E32</f>
        <v>250 V</v>
      </c>
      <c r="B35" s="77"/>
      <c r="C35" s="77"/>
      <c r="D35" s="82"/>
      <c r="E35" s="85"/>
      <c r="F35" s="85"/>
      <c r="G35" s="85"/>
      <c r="H35" s="83">
        <f ca="1">Database!$F32</f>
        <v>3</v>
      </c>
      <c r="I35" s="74"/>
      <c r="J35" s="75"/>
      <c r="K35" s="211"/>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8"/>
      <c r="IV35" s="78"/>
    </row>
    <row r="36" spans="1:256" x14ac:dyDescent="0.2">
      <c r="A36" s="76" t="str">
        <f ca="1">Database!E33</f>
        <v>Not installed</v>
      </c>
      <c r="B36" s="77"/>
      <c r="C36" s="77"/>
      <c r="D36" s="82"/>
      <c r="E36" s="85"/>
      <c r="F36" s="85"/>
      <c r="G36" s="85"/>
      <c r="H36" s="83" t="str">
        <f ca="1">Database!$F33</f>
        <v>X</v>
      </c>
      <c r="I36" s="74"/>
      <c r="J36" s="75"/>
      <c r="K36" s="211"/>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row>
    <row r="37" spans="1:256" x14ac:dyDescent="0.2">
      <c r="A37" s="79"/>
      <c r="B37" s="77"/>
      <c r="C37" s="80"/>
      <c r="D37" s="81"/>
      <c r="E37" s="84"/>
      <c r="F37" s="84"/>
      <c r="G37" s="84"/>
      <c r="H37" s="84"/>
      <c r="I37" s="74"/>
      <c r="J37" s="75"/>
      <c r="K37" s="211"/>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x14ac:dyDescent="0.2">
      <c r="A38" s="69" t="str">
        <f ca="1">Database!B35</f>
        <v>Digital Inputs 17 to 32</v>
      </c>
      <c r="B38" s="65"/>
      <c r="C38" s="77"/>
      <c r="D38" s="82"/>
      <c r="E38" s="85"/>
      <c r="F38" s="85"/>
      <c r="G38" s="85"/>
      <c r="H38" s="85"/>
      <c r="I38" s="74"/>
      <c r="J38" s="75"/>
      <c r="K38" s="211"/>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8"/>
      <c r="IV38" s="78"/>
    </row>
    <row r="39" spans="1:256" x14ac:dyDescent="0.2">
      <c r="A39" s="76" t="str">
        <f ca="1">Database!E36</f>
        <v>24 V / 48 V</v>
      </c>
      <c r="B39" s="77"/>
      <c r="C39" s="77"/>
      <c r="D39" s="82"/>
      <c r="E39" s="85"/>
      <c r="F39" s="85"/>
      <c r="G39" s="85"/>
      <c r="H39" s="85"/>
      <c r="I39" s="83">
        <f ca="1">Database!$F36</f>
        <v>1</v>
      </c>
      <c r="J39" s="75"/>
      <c r="K39" s="211"/>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x14ac:dyDescent="0.2">
      <c r="A40" s="76" t="str">
        <f ca="1">Database!E37</f>
        <v>125 V</v>
      </c>
      <c r="B40" s="77"/>
      <c r="C40" s="77"/>
      <c r="D40" s="82"/>
      <c r="E40" s="85"/>
      <c r="F40" s="85"/>
      <c r="G40" s="85"/>
      <c r="H40" s="85"/>
      <c r="I40" s="83">
        <f ca="1">Database!$F37</f>
        <v>2</v>
      </c>
      <c r="J40" s="75"/>
      <c r="K40" s="211"/>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x14ac:dyDescent="0.2">
      <c r="A41" s="76" t="str">
        <f ca="1">Database!E38</f>
        <v>250 V</v>
      </c>
      <c r="B41" s="77"/>
      <c r="C41" s="77"/>
      <c r="D41" s="82"/>
      <c r="E41" s="85"/>
      <c r="F41" s="85"/>
      <c r="G41" s="85"/>
      <c r="H41" s="85"/>
      <c r="I41" s="83">
        <f ca="1">Database!$F38</f>
        <v>3</v>
      </c>
      <c r="J41" s="75"/>
      <c r="K41" s="211"/>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x14ac:dyDescent="0.2">
      <c r="A42" s="76" t="str">
        <f ca="1">Database!E39</f>
        <v>Not installed</v>
      </c>
      <c r="B42" s="77"/>
      <c r="C42" s="77"/>
      <c r="D42" s="82"/>
      <c r="E42" s="85"/>
      <c r="F42" s="85"/>
      <c r="G42" s="85"/>
      <c r="H42" s="85"/>
      <c r="I42" s="83" t="str">
        <f ca="1">Database!$F39</f>
        <v>X</v>
      </c>
      <c r="J42" s="75"/>
      <c r="K42" s="211"/>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x14ac:dyDescent="0.2">
      <c r="A43" s="79"/>
      <c r="B43" s="80"/>
      <c r="C43" s="80"/>
      <c r="D43" s="81"/>
      <c r="E43" s="84"/>
      <c r="F43" s="84"/>
      <c r="G43" s="84"/>
      <c r="H43" s="84"/>
      <c r="I43" s="84"/>
      <c r="J43" s="75"/>
      <c r="K43" s="211"/>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x14ac:dyDescent="0.2">
      <c r="A44" s="69" t="str">
        <f ca="1">Database!B41</f>
        <v>Customization / Regionalisation</v>
      </c>
      <c r="B44" s="65"/>
      <c r="C44" s="77"/>
      <c r="D44" s="82"/>
      <c r="E44" s="85"/>
      <c r="F44" s="85"/>
      <c r="G44" s="85"/>
      <c r="H44" s="85"/>
      <c r="I44" s="85"/>
      <c r="J44" s="75"/>
      <c r="K44" s="211"/>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row>
    <row r="45" spans="1:256" x14ac:dyDescent="0.2">
      <c r="A45" s="76" t="str">
        <f ca="1">Database!E42</f>
        <v>GE branding</v>
      </c>
      <c r="B45" s="77"/>
      <c r="C45" s="77"/>
      <c r="D45" s="82"/>
      <c r="E45" s="85"/>
      <c r="F45" s="85"/>
      <c r="G45" s="85"/>
      <c r="H45" s="85"/>
      <c r="I45" s="85"/>
      <c r="J45" s="83" t="str">
        <f ca="1">Database!$F42</f>
        <v>C</v>
      </c>
      <c r="K45" s="211"/>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x14ac:dyDescent="0.2">
      <c r="A46" s="79"/>
      <c r="B46" s="80"/>
      <c r="C46" s="80"/>
      <c r="D46" s="81"/>
      <c r="E46" s="84"/>
      <c r="F46" s="84"/>
      <c r="G46" s="84"/>
      <c r="H46" s="84"/>
      <c r="I46" s="84"/>
      <c r="J46" s="120"/>
      <c r="K46" s="211"/>
    </row>
    <row r="47" spans="1:256" x14ac:dyDescent="0.2">
      <c r="A47" s="69" t="str">
        <f ca="1">Database!B45</f>
        <v>Hardware Design Suffix</v>
      </c>
      <c r="B47" s="65"/>
      <c r="C47" s="77"/>
      <c r="D47" s="82"/>
      <c r="E47" s="85"/>
      <c r="F47" s="85"/>
      <c r="G47" s="85"/>
      <c r="H47" s="85"/>
      <c r="I47" s="85"/>
      <c r="J47" s="61"/>
      <c r="K47" s="211"/>
    </row>
    <row r="48" spans="1:256" x14ac:dyDescent="0.2">
      <c r="A48" s="76" t="str">
        <f ca="1">Database!E46</f>
        <v>Third version</v>
      </c>
      <c r="B48" s="77"/>
      <c r="C48" s="77"/>
      <c r="D48" s="82"/>
      <c r="E48" s="85"/>
      <c r="F48" s="85"/>
      <c r="G48" s="85"/>
      <c r="H48" s="85"/>
      <c r="I48" s="85"/>
      <c r="J48" s="61"/>
      <c r="K48" s="83" t="str">
        <f ca="1">Database!$F46</f>
        <v>C</v>
      </c>
    </row>
    <row r="49" spans="1:11" x14ac:dyDescent="0.2">
      <c r="A49" s="79"/>
      <c r="B49" s="80"/>
      <c r="C49" s="80"/>
      <c r="D49" s="81"/>
      <c r="E49" s="84"/>
      <c r="F49" s="84"/>
      <c r="G49" s="84"/>
      <c r="H49" s="84"/>
      <c r="I49" s="84"/>
      <c r="J49" s="121"/>
      <c r="K49" s="188"/>
    </row>
    <row r="50" spans="1:11" x14ac:dyDescent="0.2">
      <c r="A50" s="76"/>
      <c r="B50" s="77"/>
      <c r="C50" s="77"/>
      <c r="D50" s="82"/>
      <c r="E50" s="85"/>
      <c r="F50" s="85"/>
      <c r="G50" s="85"/>
      <c r="H50" s="85"/>
      <c r="I50" s="85"/>
      <c r="J50" s="61"/>
    </row>
  </sheetData>
  <sheetProtection algorithmName="SHA-512" hashValue="j9fDyBFWnC6V7FoJWFc3j2EZcKZ3OxHnevWP3FDbaTIamrfrD38oInW/lFjf+MR55OvCHQamdAyBf/q5+UB4Og==" saltValue="8SS+Y+npeegbVaSHuGs4cg==" spinCount="100000" sheet="1" objects="1" scenarios="1"/>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Q33"/>
  <sheetViews>
    <sheetView showGridLines="0" showRowColHeaders="0" workbookViewId="0">
      <pane ySplit="3" topLeftCell="A4" activePane="bottomLeft" state="frozen"/>
      <selection activeCell="B20" sqref="B20"/>
      <selection pane="bottomLeft" activeCell="B20" sqref="B20"/>
    </sheetView>
  </sheetViews>
  <sheetFormatPr defaultRowHeight="14.25" x14ac:dyDescent="0.2"/>
  <cols>
    <col min="1" max="4" width="9.140625" style="2"/>
    <col min="5" max="5" width="29.42578125" style="2" customWidth="1"/>
    <col min="6" max="6" width="10.28515625" style="2" bestFit="1" customWidth="1"/>
    <col min="7" max="7" width="3.7109375" style="32" customWidth="1"/>
    <col min="8" max="13" width="3.28515625" style="32" customWidth="1"/>
    <col min="14" max="14" width="4" style="2" customWidth="1"/>
    <col min="15" max="15" width="15.7109375" style="196" hidden="1" customWidth="1"/>
    <col min="16" max="16" width="4" style="2" hidden="1" customWidth="1"/>
    <col min="17" max="17" width="9.140625" style="196"/>
    <col min="18" max="16384" width="9.140625" style="2"/>
  </cols>
  <sheetData>
    <row r="1" spans="1:17" ht="18" x14ac:dyDescent="0.25">
      <c r="A1" s="98" t="str">
        <f>Database!B3</f>
        <v>CORTEC:</v>
      </c>
      <c r="B1" s="99"/>
      <c r="C1" s="99"/>
      <c r="D1" s="99"/>
      <c r="E1" s="99"/>
      <c r="F1" s="99"/>
      <c r="G1" s="100"/>
      <c r="H1" s="100"/>
      <c r="I1" s="100"/>
      <c r="J1" s="100"/>
      <c r="K1" s="100"/>
      <c r="L1" s="100"/>
      <c r="M1" s="100"/>
      <c r="N1" s="101"/>
      <c r="O1" s="189" t="str">
        <f>HLOOKUP(Language!$C$3,Language!$E$1:$Z501,46,FALSE)</f>
        <v>Material Cost</v>
      </c>
      <c r="P1" s="190"/>
      <c r="Q1" s="191"/>
    </row>
    <row r="2" spans="1:17" x14ac:dyDescent="0.2">
      <c r="A2" s="102"/>
      <c r="B2" s="40"/>
      <c r="C2" s="40"/>
      <c r="D2" s="40"/>
      <c r="E2" s="40"/>
      <c r="F2" s="59" t="s">
        <v>8</v>
      </c>
      <c r="G2" s="60">
        <v>6</v>
      </c>
      <c r="H2" s="60">
        <v>7</v>
      </c>
      <c r="I2" s="60">
        <v>8</v>
      </c>
      <c r="J2" s="60">
        <v>9</v>
      </c>
      <c r="K2" s="60">
        <v>10</v>
      </c>
      <c r="L2" s="60">
        <v>11</v>
      </c>
      <c r="M2" s="60">
        <v>12</v>
      </c>
      <c r="N2" s="54"/>
      <c r="O2" s="192">
        <f>SUM(O3:O493)</f>
        <v>0</v>
      </c>
      <c r="P2" s="54"/>
      <c r="Q2" s="193"/>
    </row>
    <row r="3" spans="1:17" s="39" customFormat="1" ht="18" x14ac:dyDescent="0.25">
      <c r="A3" s="103"/>
      <c r="B3" s="41"/>
      <c r="C3" s="41"/>
      <c r="D3" s="41"/>
      <c r="E3" s="42"/>
      <c r="F3" s="208" t="str">
        <f ca="1">Database!E2</f>
        <v>RA331</v>
      </c>
      <c r="G3" s="33">
        <f ca="1">G5</f>
        <v>3</v>
      </c>
      <c r="H3" s="33" t="str">
        <f ca="1">G7</f>
        <v>D</v>
      </c>
      <c r="I3" s="33">
        <f ca="1">G9</f>
        <v>6</v>
      </c>
      <c r="J3" s="33" t="str">
        <f ca="1">G11</f>
        <v>X</v>
      </c>
      <c r="K3" s="33">
        <f ca="1">G13</f>
        <v>3</v>
      </c>
      <c r="L3" s="33" t="str">
        <f ca="1">G15</f>
        <v>C</v>
      </c>
      <c r="M3" s="33" t="str">
        <f ca="1">G17</f>
        <v>C</v>
      </c>
      <c r="N3" s="104"/>
      <c r="O3" s="192">
        <f>Database!D2</f>
        <v>0</v>
      </c>
      <c r="P3" s="104"/>
      <c r="Q3" s="193"/>
    </row>
    <row r="4" spans="1:17" ht="18" customHeight="1" x14ac:dyDescent="0.25">
      <c r="A4" s="111" t="str">
        <f ca="1">Database!$B$4</f>
        <v>Power Supply</v>
      </c>
      <c r="B4" s="58"/>
      <c r="C4" s="46"/>
      <c r="D4" s="46"/>
      <c r="E4" s="46"/>
      <c r="F4" s="46"/>
      <c r="G4" s="197"/>
      <c r="H4" s="198"/>
      <c r="I4" s="199"/>
      <c r="J4" s="203"/>
      <c r="K4" s="198"/>
      <c r="L4" s="199"/>
      <c r="M4" s="203"/>
      <c r="N4" s="54"/>
      <c r="O4" s="192"/>
      <c r="P4" s="54"/>
      <c r="Q4" s="193"/>
    </row>
    <row r="5" spans="1:17" ht="24.75" customHeight="1" x14ac:dyDescent="0.2">
      <c r="A5" s="105"/>
      <c r="B5" s="46"/>
      <c r="C5" s="46"/>
      <c r="D5" s="106"/>
      <c r="E5" s="46"/>
      <c r="F5" s="46"/>
      <c r="G5" s="33">
        <f ca="1">Database!F4</f>
        <v>3</v>
      </c>
      <c r="H5" s="34"/>
      <c r="I5" s="35"/>
      <c r="J5" s="36"/>
      <c r="K5" s="34"/>
      <c r="L5" s="35"/>
      <c r="M5" s="36"/>
      <c r="N5" s="54"/>
      <c r="O5" s="192"/>
      <c r="P5" s="54"/>
      <c r="Q5" s="194" t="str">
        <f>IF(Database!H4="N",HLOOKUP(Language!$C$3,Language!$E$1:$Z501,47,FALSE),"")</f>
        <v/>
      </c>
    </row>
    <row r="6" spans="1:17" ht="18" customHeight="1" x14ac:dyDescent="0.2">
      <c r="A6" s="111" t="str">
        <f ca="1">Database!B9</f>
        <v>Analogue Inputs 1 to 4</v>
      </c>
      <c r="B6" s="46"/>
      <c r="C6" s="46"/>
      <c r="D6" s="46"/>
      <c r="E6" s="46"/>
      <c r="F6" s="46"/>
      <c r="G6" s="38"/>
      <c r="H6" s="34"/>
      <c r="I6" s="35"/>
      <c r="J6" s="36"/>
      <c r="K6" s="34"/>
      <c r="L6" s="35"/>
      <c r="M6" s="36"/>
      <c r="N6" s="54"/>
      <c r="O6" s="192"/>
      <c r="P6" s="54"/>
      <c r="Q6" s="193"/>
    </row>
    <row r="7" spans="1:17" ht="64.5" customHeight="1" x14ac:dyDescent="0.2">
      <c r="A7" s="105"/>
      <c r="B7" s="46"/>
      <c r="C7" s="46"/>
      <c r="D7" s="46"/>
      <c r="E7" s="46"/>
      <c r="F7" s="46"/>
      <c r="G7" s="33" t="str">
        <f ca="1">Database!F9</f>
        <v>D</v>
      </c>
      <c r="H7" s="44"/>
      <c r="I7" s="35"/>
      <c r="J7" s="36"/>
      <c r="K7" s="34"/>
      <c r="L7" s="35"/>
      <c r="M7" s="36"/>
      <c r="N7" s="54"/>
      <c r="O7" s="192"/>
      <c r="P7" s="54"/>
      <c r="Q7" s="194" t="str">
        <f ca="1">IF(Database!H9="N",HLOOKUP(Language!$C$3,Language!$E$1:$Z501,47,FALSE),"")</f>
        <v/>
      </c>
    </row>
    <row r="8" spans="1:17" ht="18" customHeight="1" x14ac:dyDescent="0.2">
      <c r="A8" s="111" t="str">
        <f ca="1">Database!B19</f>
        <v>Analogue Inputs 5 to 8</v>
      </c>
      <c r="B8" s="112"/>
      <c r="C8" s="46"/>
      <c r="D8" s="46"/>
      <c r="E8" s="46"/>
      <c r="F8" s="46"/>
      <c r="G8" s="200"/>
      <c r="H8" s="37"/>
      <c r="I8" s="35"/>
      <c r="J8" s="36"/>
      <c r="K8" s="34"/>
      <c r="L8" s="35"/>
      <c r="M8" s="36"/>
      <c r="N8" s="54"/>
      <c r="O8" s="192"/>
      <c r="P8" s="54"/>
      <c r="Q8" s="193"/>
    </row>
    <row r="9" spans="1:17" ht="63" customHeight="1" x14ac:dyDescent="0.2">
      <c r="A9" s="105"/>
      <c r="B9" s="46"/>
      <c r="C9" s="46"/>
      <c r="D9" s="46"/>
      <c r="E9" s="46"/>
      <c r="F9" s="46"/>
      <c r="G9" s="33">
        <f ca="1">Database!F19</f>
        <v>6</v>
      </c>
      <c r="H9" s="201"/>
      <c r="I9" s="202"/>
      <c r="J9" s="36"/>
      <c r="K9" s="34"/>
      <c r="L9" s="35"/>
      <c r="M9" s="36"/>
      <c r="N9" s="54"/>
      <c r="O9" s="192"/>
      <c r="P9" s="54"/>
      <c r="Q9" s="194" t="str">
        <f ca="1">IF(Database!H19="N",HLOOKUP(Language!$C$3,Language!$E$1:$Z501,47,FALSE),"")</f>
        <v/>
      </c>
    </row>
    <row r="10" spans="1:17" ht="18" customHeight="1" x14ac:dyDescent="0.2">
      <c r="A10" s="111" t="str">
        <f ca="1">Database!B29</f>
        <v>Digital Inputs 1 to 16</v>
      </c>
      <c r="B10" s="46"/>
      <c r="C10" s="46"/>
      <c r="D10" s="46"/>
      <c r="E10" s="46"/>
      <c r="F10" s="46"/>
      <c r="G10" s="204"/>
      <c r="H10" s="108"/>
      <c r="I10" s="108"/>
      <c r="J10" s="36"/>
      <c r="K10" s="34"/>
      <c r="L10" s="35"/>
      <c r="M10" s="36"/>
      <c r="N10" s="54"/>
      <c r="O10" s="192"/>
      <c r="P10" s="54"/>
      <c r="Q10" s="193"/>
    </row>
    <row r="11" spans="1:17" ht="43.5" customHeight="1" x14ac:dyDescent="0.2">
      <c r="A11" s="105"/>
      <c r="B11" s="46"/>
      <c r="C11" s="46"/>
      <c r="D11" s="46"/>
      <c r="E11" s="46"/>
      <c r="F11" s="46"/>
      <c r="G11" s="33" t="str">
        <f ca="1">Database!F29</f>
        <v>X</v>
      </c>
      <c r="H11" s="205"/>
      <c r="I11" s="205"/>
      <c r="J11" s="206"/>
      <c r="K11" s="34"/>
      <c r="L11" s="35"/>
      <c r="M11" s="36"/>
      <c r="N11" s="54"/>
      <c r="O11" s="192"/>
      <c r="P11" s="54"/>
      <c r="Q11" s="194" t="str">
        <f ca="1">IF(Database!H29="N",HLOOKUP(Language!$C$3,Language!$E$1:$Z501,47,FALSE),"")</f>
        <v/>
      </c>
    </row>
    <row r="12" spans="1:17" ht="18" customHeight="1" x14ac:dyDescent="0.2">
      <c r="A12" s="111" t="str">
        <f ca="1">Database!B35</f>
        <v>Digital Inputs 17 to 32</v>
      </c>
      <c r="B12" s="46"/>
      <c r="C12" s="46"/>
      <c r="D12" s="46"/>
      <c r="E12" s="46"/>
      <c r="F12" s="46"/>
      <c r="G12" s="38"/>
      <c r="H12" s="107"/>
      <c r="I12" s="107"/>
      <c r="J12" s="107"/>
      <c r="K12" s="34"/>
      <c r="L12" s="35"/>
      <c r="M12" s="36"/>
      <c r="N12" s="54"/>
      <c r="O12" s="192"/>
      <c r="P12" s="54"/>
      <c r="Q12" s="193"/>
    </row>
    <row r="13" spans="1:17" ht="42.75" customHeight="1" x14ac:dyDescent="0.2">
      <c r="A13" s="105"/>
      <c r="B13" s="46"/>
      <c r="C13" s="46"/>
      <c r="D13" s="46"/>
      <c r="E13" s="46"/>
      <c r="F13" s="46"/>
      <c r="G13" s="33">
        <f ca="1">Database!F35</f>
        <v>3</v>
      </c>
      <c r="H13" s="43"/>
      <c r="I13" s="43"/>
      <c r="J13" s="43"/>
      <c r="K13" s="44"/>
      <c r="L13" s="35"/>
      <c r="M13" s="36"/>
      <c r="N13" s="54"/>
      <c r="O13" s="192"/>
      <c r="P13" s="54"/>
      <c r="Q13" s="194" t="str">
        <f ca="1">IF(Database!H35="N",HLOOKUP(Language!$C$3,Language!$E$1:$Z501,47,FALSE),"")</f>
        <v/>
      </c>
    </row>
    <row r="14" spans="1:17" ht="18" customHeight="1" x14ac:dyDescent="0.25">
      <c r="A14" s="111" t="str">
        <f ca="1">Database!B41</f>
        <v>Customization / Regionalisation</v>
      </c>
      <c r="B14" s="58"/>
      <c r="C14" s="113"/>
      <c r="D14" s="46"/>
      <c r="E14" s="46"/>
      <c r="F14" s="46"/>
      <c r="G14" s="200"/>
      <c r="H14" s="37"/>
      <c r="I14" s="37"/>
      <c r="J14" s="37"/>
      <c r="K14" s="37"/>
      <c r="L14" s="35"/>
      <c r="M14" s="36"/>
      <c r="N14" s="54"/>
      <c r="O14" s="192"/>
      <c r="P14" s="54"/>
      <c r="Q14" s="193"/>
    </row>
    <row r="15" spans="1:17" ht="30" customHeight="1" x14ac:dyDescent="0.2">
      <c r="A15" s="105"/>
      <c r="B15" s="46"/>
      <c r="C15" s="46"/>
      <c r="D15" s="46"/>
      <c r="E15" s="46"/>
      <c r="F15" s="46"/>
      <c r="G15" s="33" t="str">
        <f ca="1">Database!F41</f>
        <v>C</v>
      </c>
      <c r="H15" s="201"/>
      <c r="I15" s="201"/>
      <c r="J15" s="201"/>
      <c r="K15" s="201"/>
      <c r="L15" s="202"/>
      <c r="M15" s="36"/>
      <c r="N15" s="54"/>
      <c r="O15" s="192"/>
      <c r="P15" s="54"/>
      <c r="Q15" s="194" t="str">
        <f ca="1">IF(Database!H41="N",HLOOKUP(Language!$C$3,Language!$E$1:$Z501,47,FALSE),"")</f>
        <v/>
      </c>
    </row>
    <row r="16" spans="1:17" ht="17.25" customHeight="1" x14ac:dyDescent="0.2">
      <c r="A16" s="111" t="str">
        <f ca="1">Database!B45</f>
        <v>Hardware Design Suffix</v>
      </c>
      <c r="B16" s="46"/>
      <c r="C16" s="46"/>
      <c r="D16" s="46"/>
      <c r="E16" s="46"/>
      <c r="F16" s="46"/>
      <c r="G16" s="204"/>
      <c r="H16" s="108"/>
      <c r="I16" s="108"/>
      <c r="J16" s="108"/>
      <c r="K16" s="108"/>
      <c r="L16" s="108"/>
      <c r="M16" s="36"/>
      <c r="N16" s="54"/>
      <c r="O16" s="192"/>
      <c r="P16" s="54"/>
      <c r="Q16" s="193"/>
    </row>
    <row r="17" spans="1:17" ht="30" customHeight="1" x14ac:dyDescent="0.2">
      <c r="A17" s="105"/>
      <c r="B17" s="46"/>
      <c r="C17" s="46"/>
      <c r="D17" s="46"/>
      <c r="E17" s="46"/>
      <c r="F17" s="46"/>
      <c r="G17" s="33" t="str">
        <f ca="1">Database!F45</f>
        <v>C</v>
      </c>
      <c r="H17" s="205"/>
      <c r="I17" s="205"/>
      <c r="J17" s="205"/>
      <c r="K17" s="205"/>
      <c r="L17" s="205"/>
      <c r="M17" s="206"/>
      <c r="N17" s="54"/>
      <c r="O17" s="192"/>
      <c r="P17" s="54"/>
      <c r="Q17" s="194" t="str">
        <f ca="1">IF(Database!H45="N",HLOOKUP(Language!$C$3,Language!$E$1:$Z501,47,FALSE),"")</f>
        <v/>
      </c>
    </row>
    <row r="18" spans="1:17" ht="17.25" customHeight="1" thickBot="1" x14ac:dyDescent="0.25">
      <c r="A18" s="109"/>
      <c r="B18" s="55"/>
      <c r="C18" s="55"/>
      <c r="D18" s="55"/>
      <c r="E18" s="55"/>
      <c r="F18" s="55"/>
      <c r="G18" s="110"/>
      <c r="H18" s="110"/>
      <c r="I18" s="110"/>
      <c r="J18" s="110"/>
      <c r="K18" s="110"/>
      <c r="L18" s="110"/>
      <c r="M18" s="110"/>
      <c r="N18" s="56"/>
      <c r="O18" s="195"/>
      <c r="P18" s="56"/>
      <c r="Q18" s="193"/>
    </row>
    <row r="19" spans="1:17" ht="20.25" x14ac:dyDescent="0.2">
      <c r="O19" s="193"/>
      <c r="Q19" s="194" t="str">
        <f>IF(Database!E50="N",HLOOKUP(Language!$C$3,Language!$E$1:$Z501,50,FALSE),"")</f>
        <v/>
      </c>
    </row>
    <row r="20" spans="1:17" x14ac:dyDescent="0.2">
      <c r="O20" s="193"/>
      <c r="Q20" s="193"/>
    </row>
    <row r="21" spans="1:17" ht="20.25" x14ac:dyDescent="0.2">
      <c r="O21" s="193"/>
      <c r="Q21" s="194"/>
    </row>
    <row r="22" spans="1:17" x14ac:dyDescent="0.2">
      <c r="O22" s="193"/>
      <c r="Q22" s="193"/>
    </row>
    <row r="23" spans="1:17" ht="20.25" x14ac:dyDescent="0.2">
      <c r="O23" s="193"/>
      <c r="Q23" s="194" t="str">
        <f>IF(Database!E61="N",HLOOKUP(Language!$C$3,Language!$E$1:$Z501,50,FALSE),"")</f>
        <v/>
      </c>
    </row>
    <row r="24" spans="1:17" x14ac:dyDescent="0.2">
      <c r="O24" s="193"/>
      <c r="Q24" s="193"/>
    </row>
    <row r="25" spans="1:17" x14ac:dyDescent="0.2">
      <c r="O25" s="193"/>
      <c r="Q25" s="193"/>
    </row>
    <row r="26" spans="1:17" x14ac:dyDescent="0.2">
      <c r="O26" s="193"/>
      <c r="Q26" s="193"/>
    </row>
    <row r="27" spans="1:17" x14ac:dyDescent="0.2">
      <c r="Q27" s="193"/>
    </row>
    <row r="28" spans="1:17" x14ac:dyDescent="0.2">
      <c r="Q28" s="193"/>
    </row>
    <row r="29" spans="1:17" x14ac:dyDescent="0.2">
      <c r="Q29" s="193"/>
    </row>
    <row r="30" spans="1:17" x14ac:dyDescent="0.2">
      <c r="Q30" s="193"/>
    </row>
    <row r="31" spans="1:17" x14ac:dyDescent="0.2">
      <c r="Q31" s="193"/>
    </row>
    <row r="32" spans="1:17" x14ac:dyDescent="0.2">
      <c r="Q32" s="193"/>
    </row>
    <row r="33" spans="17:17" x14ac:dyDescent="0.2">
      <c r="Q33" s="193"/>
    </row>
  </sheetData>
  <sheetProtection algorithmName="SHA-512" hashValue="qoyUCkZxWzAqHdKwxzp6LJnsdAqtrxCJCDAQ5UIKF9olIu821XDAaWtvQqNTPl+Q/RGcPozf6Sh7e2+EQsPkdw==" saltValue="/OTF3uZcON32Kwm9gk/Dqw==" spinCount="100000"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4</xdr:row>
                    <xdr:rowOff>0</xdr:rowOff>
                  </from>
                  <to>
                    <xdr:col>5</xdr:col>
                    <xdr:colOff>676275</xdr:colOff>
                    <xdr:row>5</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6</xdr:row>
                    <xdr:rowOff>0</xdr:rowOff>
                  </from>
                  <to>
                    <xdr:col>5</xdr:col>
                    <xdr:colOff>676275</xdr:colOff>
                    <xdr:row>6</xdr:row>
                    <xdr:rowOff>809625</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8201" r:id="rId7" name="List Box 9">
              <controlPr defaultSize="0" autoLine="0" autoPict="0">
                <anchor moveWithCells="1">
                  <from>
                    <xdr:col>0</xdr:col>
                    <xdr:colOff>0</xdr:colOff>
                    <xdr:row>10</xdr:row>
                    <xdr:rowOff>0</xdr:rowOff>
                  </from>
                  <to>
                    <xdr:col>6</xdr:col>
                    <xdr:colOff>0</xdr:colOff>
                    <xdr:row>11</xdr:row>
                    <xdr:rowOff>9525</xdr:rowOff>
                  </to>
                </anchor>
              </controlPr>
            </control>
          </mc:Choice>
        </mc:AlternateContent>
        <mc:AlternateContent xmlns:mc="http://schemas.openxmlformats.org/markup-compatibility/2006">
          <mc:Choice Requires="x14">
            <control shapeId="8203" r:id="rId8" name="List Box 11">
              <controlPr defaultSize="0" autoLine="0" autoPict="0">
                <anchor moveWithCells="1">
                  <from>
                    <xdr:col>0</xdr:col>
                    <xdr:colOff>0</xdr:colOff>
                    <xdr:row>12</xdr:row>
                    <xdr:rowOff>0</xdr:rowOff>
                  </from>
                  <to>
                    <xdr:col>6</xdr:col>
                    <xdr:colOff>9525</xdr:colOff>
                    <xdr:row>12</xdr:row>
                    <xdr:rowOff>533400</xdr:rowOff>
                  </to>
                </anchor>
              </controlPr>
            </control>
          </mc:Choice>
        </mc:AlternateContent>
        <mc:AlternateContent xmlns:mc="http://schemas.openxmlformats.org/markup-compatibility/2006">
          <mc:Choice Requires="x14">
            <control shapeId="8232" r:id="rId9" name="List Box 40">
              <controlPr defaultSize="0" autoLine="0" autoPict="0">
                <anchor moveWithCells="1">
                  <from>
                    <xdr:col>0</xdr:col>
                    <xdr:colOff>0</xdr:colOff>
                    <xdr:row>14</xdr:row>
                    <xdr:rowOff>0</xdr:rowOff>
                  </from>
                  <to>
                    <xdr:col>6</xdr:col>
                    <xdr:colOff>9525</xdr:colOff>
                    <xdr:row>15</xdr:row>
                    <xdr:rowOff>0</xdr:rowOff>
                  </to>
                </anchor>
              </controlPr>
            </control>
          </mc:Choice>
        </mc:AlternateContent>
        <mc:AlternateContent xmlns:mc="http://schemas.openxmlformats.org/markup-compatibility/2006">
          <mc:Choice Requires="x14">
            <control shapeId="8233" r:id="rId10" name="List Box 41">
              <controlPr defaultSize="0" autoLine="0" autoPict="0">
                <anchor moveWithCells="1">
                  <from>
                    <xdr:col>0</xdr:col>
                    <xdr:colOff>0</xdr:colOff>
                    <xdr:row>16</xdr:row>
                    <xdr:rowOff>0</xdr:rowOff>
                  </from>
                  <to>
                    <xdr:col>5</xdr:col>
                    <xdr:colOff>676275</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28"/>
  <sheetViews>
    <sheetView showGridLines="0" showRowColHeaders="0" workbookViewId="0">
      <pane ySplit="1" topLeftCell="A25" activePane="bottomLeft" state="frozen"/>
      <selection activeCell="B20" sqref="B20"/>
      <selection pane="bottomLeft" activeCell="H28" sqref="H28"/>
    </sheetView>
  </sheetViews>
  <sheetFormatPr defaultRowHeight="14.25" x14ac:dyDescent="0.2"/>
  <cols>
    <col min="1" max="1" width="13.42578125" style="2" customWidth="1"/>
    <col min="2" max="4" width="9.140625" style="2"/>
    <col min="5" max="5" width="11.5703125" style="2" customWidth="1"/>
    <col min="6" max="7" width="9.140625" style="2"/>
    <col min="8" max="8" width="10.140625" style="2" bestFit="1" customWidth="1"/>
    <col min="9" max="16384" width="9.140625" style="2"/>
  </cols>
  <sheetData>
    <row r="1" spans="1:9" ht="15.75" x14ac:dyDescent="0.25">
      <c r="A1" s="48" t="str">
        <f ca="1">Database!$E$3</f>
        <v>RA3313D6X3CC</v>
      </c>
      <c r="B1" s="49"/>
      <c r="C1" s="49"/>
      <c r="D1" s="49"/>
      <c r="E1" s="40"/>
      <c r="F1" s="40"/>
      <c r="G1" s="40"/>
      <c r="H1" s="40"/>
      <c r="I1" s="53"/>
    </row>
    <row r="2" spans="1:9" ht="15" x14ac:dyDescent="0.25">
      <c r="A2" s="45" t="str">
        <f>Database!$B$3</f>
        <v>CORTEC:</v>
      </c>
      <c r="B2" s="46"/>
      <c r="C2" s="46"/>
      <c r="D2" s="46"/>
      <c r="E2" s="46"/>
      <c r="F2" s="46"/>
      <c r="G2" s="46"/>
      <c r="H2" s="46"/>
      <c r="I2" s="54"/>
    </row>
    <row r="3" spans="1:9" ht="15" x14ac:dyDescent="0.25">
      <c r="A3" s="45" t="str">
        <f ca="1">Database!$B$4</f>
        <v>Power Supply</v>
      </c>
      <c r="B3" s="46"/>
      <c r="C3" s="46"/>
      <c r="D3" s="46"/>
      <c r="E3" s="46"/>
      <c r="F3" s="46"/>
      <c r="G3" s="46"/>
      <c r="H3" s="46"/>
      <c r="I3" s="54"/>
    </row>
    <row r="4" spans="1:9" x14ac:dyDescent="0.2">
      <c r="A4" s="114" t="str">
        <f ca="1">Database!$E$4</f>
        <v>100-250 Vdc / 110-240 Vac</v>
      </c>
      <c r="B4" s="46"/>
      <c r="C4" s="46"/>
      <c r="D4" s="46"/>
      <c r="E4" s="46"/>
      <c r="F4" s="46"/>
      <c r="G4" s="46"/>
      <c r="H4" s="46"/>
      <c r="I4" s="54"/>
    </row>
    <row r="5" spans="1:9" ht="15" x14ac:dyDescent="0.25">
      <c r="A5" s="45" t="str">
        <f ca="1">Database!$B$9</f>
        <v>Analogue Inputs 1 to 4</v>
      </c>
      <c r="B5" s="46"/>
      <c r="C5" s="46"/>
      <c r="D5" s="46"/>
      <c r="E5" s="46"/>
      <c r="F5" s="46"/>
      <c r="G5" s="46"/>
      <c r="H5" s="46"/>
      <c r="I5" s="54"/>
    </row>
    <row r="6" spans="1:9" x14ac:dyDescent="0.2">
      <c r="A6" s="47" t="str">
        <f ca="1">Database!$E$9</f>
        <v>Voltage inputs ±10 Vdc / Current inputs 0-20 mAdc</v>
      </c>
      <c r="B6" s="46"/>
      <c r="C6" s="46"/>
      <c r="D6" s="46"/>
      <c r="E6" s="46"/>
      <c r="F6" s="46"/>
      <c r="G6" s="46"/>
      <c r="H6" s="46"/>
      <c r="I6" s="54"/>
    </row>
    <row r="7" spans="1:9" ht="15" x14ac:dyDescent="0.25">
      <c r="A7" s="115" t="str">
        <f ca="1">Database!$B$19</f>
        <v>Analogue Inputs 5 to 8</v>
      </c>
      <c r="B7" s="46"/>
      <c r="C7" s="46"/>
      <c r="D7" s="46"/>
      <c r="E7" s="46"/>
      <c r="F7" s="46"/>
      <c r="G7" s="46"/>
      <c r="H7" s="46"/>
      <c r="I7" s="54"/>
    </row>
    <row r="8" spans="1:9" x14ac:dyDescent="0.2">
      <c r="A8" s="47" t="str">
        <f ca="1">Database!$E$19</f>
        <v>Voltage inputs 115 V / Current inputs 5 A; full-scale 200 A (Ith = 200 A)</v>
      </c>
      <c r="B8" s="46"/>
      <c r="C8" s="46"/>
      <c r="D8" s="46"/>
      <c r="E8" s="46"/>
      <c r="F8" s="46"/>
      <c r="G8" s="46"/>
      <c r="H8" s="46"/>
      <c r="I8" s="54"/>
    </row>
    <row r="9" spans="1:9" ht="15" x14ac:dyDescent="0.25">
      <c r="A9" s="45" t="str">
        <f ca="1">Database!$B$29</f>
        <v>Digital Inputs 1 to 16</v>
      </c>
      <c r="B9" s="46"/>
      <c r="C9" s="46"/>
      <c r="D9" s="46"/>
      <c r="E9" s="46"/>
      <c r="F9" s="46"/>
      <c r="G9" s="46"/>
      <c r="H9" s="46"/>
      <c r="I9" s="54"/>
    </row>
    <row r="10" spans="1:9" x14ac:dyDescent="0.2">
      <c r="A10" s="47" t="str">
        <f ca="1">Database!$E$29</f>
        <v>Not installed</v>
      </c>
      <c r="B10" s="46"/>
      <c r="C10" s="46"/>
      <c r="D10" s="46"/>
      <c r="E10" s="46"/>
      <c r="F10" s="46"/>
      <c r="G10" s="46"/>
      <c r="H10" s="46"/>
      <c r="I10" s="54"/>
    </row>
    <row r="11" spans="1:9" ht="15" x14ac:dyDescent="0.25">
      <c r="A11" s="115" t="str">
        <f ca="1">Database!$B$35</f>
        <v>Digital Inputs 17 to 32</v>
      </c>
      <c r="B11" s="46"/>
      <c r="C11" s="46"/>
      <c r="D11" s="46"/>
      <c r="E11" s="46"/>
      <c r="F11" s="46"/>
      <c r="G11" s="46"/>
      <c r="H11" s="46"/>
      <c r="I11" s="54"/>
    </row>
    <row r="12" spans="1:9" x14ac:dyDescent="0.2">
      <c r="A12" s="114" t="str">
        <f ca="1">Database!$E$35</f>
        <v>250 V</v>
      </c>
      <c r="B12" s="46"/>
      <c r="C12" s="46"/>
      <c r="D12" s="46"/>
      <c r="E12" s="46"/>
      <c r="F12" s="46"/>
      <c r="G12" s="46"/>
      <c r="H12" s="46"/>
      <c r="I12" s="54"/>
    </row>
    <row r="13" spans="1:9" ht="15" x14ac:dyDescent="0.25">
      <c r="A13" s="115" t="str">
        <f ca="1">Database!$B$41</f>
        <v>Customization / Regionalisation</v>
      </c>
      <c r="B13" s="46"/>
      <c r="C13" s="46"/>
      <c r="D13" s="46"/>
      <c r="E13" s="46"/>
      <c r="F13" s="46"/>
      <c r="G13" s="46"/>
      <c r="H13" s="46"/>
      <c r="I13" s="54"/>
    </row>
    <row r="14" spans="1:9" x14ac:dyDescent="0.2">
      <c r="A14" s="114" t="str">
        <f ca="1">Database!$E$41</f>
        <v>GE branding</v>
      </c>
      <c r="B14" s="46"/>
      <c r="C14" s="46"/>
      <c r="D14" s="46"/>
      <c r="E14" s="46"/>
      <c r="F14" s="46"/>
      <c r="G14" s="46"/>
      <c r="H14" s="46"/>
      <c r="I14" s="54"/>
    </row>
    <row r="15" spans="1:9" ht="15" x14ac:dyDescent="0.25">
      <c r="A15" s="115" t="str">
        <f ca="1">Database!$B$45</f>
        <v>Hardware Design Suffix</v>
      </c>
      <c r="B15" s="46"/>
      <c r="C15" s="46"/>
      <c r="D15" s="46"/>
      <c r="E15" s="46"/>
      <c r="F15" s="46"/>
      <c r="G15" s="46"/>
      <c r="H15" s="46"/>
      <c r="I15" s="54"/>
    </row>
    <row r="16" spans="1:9" x14ac:dyDescent="0.2">
      <c r="A16" s="114" t="str">
        <f ca="1">Database!$E$45</f>
        <v>Third version</v>
      </c>
      <c r="B16" s="46"/>
      <c r="C16" s="46"/>
      <c r="D16" s="46"/>
      <c r="E16" s="46"/>
      <c r="F16" s="46"/>
      <c r="G16" s="46"/>
      <c r="H16" s="46"/>
      <c r="I16" s="54"/>
    </row>
    <row r="17" spans="1:9" ht="15" thickBot="1" x14ac:dyDescent="0.25">
      <c r="A17" s="55"/>
      <c r="B17" s="55"/>
      <c r="C17" s="55"/>
      <c r="D17" s="55"/>
      <c r="E17" s="55"/>
      <c r="F17" s="55"/>
      <c r="G17" s="55"/>
      <c r="H17" s="55"/>
      <c r="I17" s="56"/>
    </row>
    <row r="18" spans="1:9" x14ac:dyDescent="0.2">
      <c r="A18" s="46"/>
      <c r="B18" s="46"/>
      <c r="C18" s="46"/>
      <c r="D18" s="46"/>
      <c r="E18" s="46"/>
      <c r="F18" s="46"/>
      <c r="G18" s="46"/>
      <c r="H18" s="46"/>
      <c r="I18" s="54"/>
    </row>
    <row r="19" spans="1:9" x14ac:dyDescent="0.2">
      <c r="A19" s="50" t="str">
        <f>HLOOKUP(Language!$C$3,Language!$E$1:$Z577,29,FALSE)</f>
        <v>Issue:</v>
      </c>
      <c r="B19" s="51"/>
      <c r="C19" s="51"/>
      <c r="D19" s="46"/>
      <c r="E19" s="46"/>
      <c r="F19" s="46"/>
      <c r="G19" s="46"/>
      <c r="H19" s="46"/>
      <c r="I19" s="54"/>
    </row>
    <row r="20" spans="1:9" x14ac:dyDescent="0.2">
      <c r="A20" s="52"/>
      <c r="B20" s="184" t="s">
        <v>0</v>
      </c>
      <c r="C20" s="243" t="str">
        <f>HLOOKUP(Language!$C$3,Language!$E$1:$Z577,30,FALSE)</f>
        <v>Original Created</v>
      </c>
      <c r="D20" s="244"/>
      <c r="E20" s="244"/>
      <c r="F20" s="244"/>
      <c r="G20" s="244"/>
      <c r="H20" s="185">
        <f>'Date Drivers'!C2</f>
        <v>41709</v>
      </c>
      <c r="I20" s="57"/>
    </row>
    <row r="21" spans="1:9" s="213" customFormat="1" ht="28.5" customHeight="1" x14ac:dyDescent="0.2">
      <c r="A21" s="214"/>
      <c r="B21" s="217" t="s">
        <v>1</v>
      </c>
      <c r="C21" s="241" t="str">
        <f>HLOOKUP(Language!$C$3,Language!$E$1:$Z577,45,FALSE)</f>
        <v>Added 24-48 Vdc power supply option, changed analog boards description</v>
      </c>
      <c r="D21" s="242"/>
      <c r="E21" s="242"/>
      <c r="F21" s="242"/>
      <c r="G21" s="242"/>
      <c r="H21" s="218">
        <f>'Date Drivers'!H2</f>
        <v>42110</v>
      </c>
      <c r="I21" s="215"/>
    </row>
    <row r="22" spans="1:9" s="213" customFormat="1" ht="28.5" customHeight="1" x14ac:dyDescent="0.2">
      <c r="A22" s="214"/>
      <c r="B22" s="217" t="s">
        <v>2</v>
      </c>
      <c r="C22" s="241" t="str">
        <f>HLOOKUP(Language!$C$3,Language!$E$1:$Z577,50,FALSE)</f>
        <v>Corrected power supply range for option 3</v>
      </c>
      <c r="D22" s="242"/>
      <c r="E22" s="242"/>
      <c r="F22" s="242"/>
      <c r="G22" s="242"/>
      <c r="H22" s="218">
        <v>42237</v>
      </c>
      <c r="I22" s="215"/>
    </row>
    <row r="23" spans="1:9" ht="28.5" customHeight="1" x14ac:dyDescent="0.2">
      <c r="A23" s="46"/>
      <c r="B23" s="184" t="s">
        <v>23</v>
      </c>
      <c r="C23" s="241" t="str">
        <f>HLOOKUP(Language!$C$3,Language!$E$1:$Z578,52,FALSE)</f>
        <v>Changed branding to GE</v>
      </c>
      <c r="D23" s="242"/>
      <c r="E23" s="242"/>
      <c r="F23" s="242"/>
      <c r="G23" s="242"/>
      <c r="H23" s="218">
        <f>'Date Drivers'!M2</f>
        <v>42494</v>
      </c>
      <c r="I23" s="57"/>
    </row>
    <row r="24" spans="1:9" s="213" customFormat="1" ht="28.5" customHeight="1" x14ac:dyDescent="0.2">
      <c r="A24" s="214"/>
      <c r="B24" s="217" t="s">
        <v>147</v>
      </c>
      <c r="C24" s="241" t="str">
        <f>HLOOKUP(Language!$C$3,Language!$E$1:$Z579,55,FALSE)</f>
        <v xml:space="preserve">Added option of analog input boards with 40xIn measurement range </v>
      </c>
      <c r="D24" s="242"/>
      <c r="E24" s="242"/>
      <c r="F24" s="242"/>
      <c r="G24" s="242"/>
      <c r="H24" s="218">
        <f>'Date Drivers'!R2</f>
        <v>43161</v>
      </c>
      <c r="I24" s="215"/>
    </row>
    <row r="25" spans="1:9" s="213" customFormat="1" ht="105" customHeight="1" x14ac:dyDescent="0.2">
      <c r="A25" s="214"/>
      <c r="B25" s="217" t="s">
        <v>154</v>
      </c>
      <c r="C25" s="241" t="str">
        <f>HLOOKUP(Language!$C$3,Language!$E$1:$Z580,56,FALSE)</f>
        <v>Analog Inputs Option 1 – Voltage inputs 115V/Current Inputs 1 A; full-scale 20 A discontinued and replaced by Analog Inputs Option 2 – Voltage inputs 115V/Current Inputs 1 A; full-scale 40 A. And Analog Inputs Option T – Voltage inputs 115V/Current Inputs 5 A; full-scale 14 A discontinued and replaced by Analog Inputs Option 6 – Voltage inputs 115V/Current Inputs 5 A; full-scale 200 A.</v>
      </c>
      <c r="D25" s="242"/>
      <c r="E25" s="242"/>
      <c r="F25" s="242"/>
      <c r="G25" s="242"/>
      <c r="H25" s="218">
        <f>'Date Drivers'!W2</f>
        <v>43395</v>
      </c>
      <c r="I25" s="215"/>
    </row>
    <row r="26" spans="1:9" ht="50.1" customHeight="1" x14ac:dyDescent="0.2">
      <c r="A26" s="214"/>
      <c r="B26" s="217" t="s">
        <v>186</v>
      </c>
      <c r="C26" s="241" t="str">
        <f>HLOOKUP(Language!$C$3,Language!$E$1:$Z581,57,FALSE)</f>
        <v>Analog Inputs Option 5 – Voltage inputs 115 V / Current inputs 5 A; full-scale 100 A withdrawn as per GE Publication GER-4844 and GER-4861</v>
      </c>
      <c r="D26" s="242"/>
      <c r="E26" s="242"/>
      <c r="F26" s="242"/>
      <c r="G26" s="242"/>
      <c r="H26" s="218">
        <f>'Date Drivers'!AB2</f>
        <v>43662</v>
      </c>
      <c r="I26" s="215"/>
    </row>
    <row r="27" spans="1:9" s="213" customFormat="1" ht="50.1" customHeight="1" x14ac:dyDescent="0.2">
      <c r="A27" s="214"/>
      <c r="B27" s="217" t="s">
        <v>193</v>
      </c>
      <c r="C27" s="241" t="str">
        <f>HLOOKUP(Language!$C$3,Language!$E$1:$Z582,58,FALSE)</f>
        <v>Withdraw Low Voltage Power Supply by CID006764 - 12/15/2021, plese refer to End-of-manufacturing notice GER-4900</v>
      </c>
      <c r="D27" s="242"/>
      <c r="E27" s="242"/>
      <c r="F27" s="242"/>
      <c r="G27" s="242"/>
      <c r="H27" s="218">
        <f>'Date Drivers'!AG2</f>
        <v>44224</v>
      </c>
      <c r="I27" s="215"/>
    </row>
    <row r="28" spans="1:9" ht="15" thickBot="1" x14ac:dyDescent="0.25">
      <c r="A28" s="55"/>
      <c r="B28" s="55"/>
      <c r="C28" s="55"/>
      <c r="D28" s="55"/>
      <c r="E28" s="55"/>
      <c r="F28" s="55"/>
      <c r="G28" s="55"/>
      <c r="H28" s="55"/>
      <c r="I28" s="56"/>
    </row>
  </sheetData>
  <sheetProtection algorithmName="SHA-512" hashValue="L7/UdyJ2vgNtsDohTqFPsUmVQ6Mace078D36Wvqmygx1Ed6VM7qcmi4FJEZZPrajT3AnPkU1ciW+1uTCex2VRA==" saltValue="sQkf45OGYEz7itqm1y4V6A==" spinCount="100000" sheet="1" objects="1" scenarios="1"/>
  <mergeCells count="8">
    <mergeCell ref="C27:G27"/>
    <mergeCell ref="C26:G26"/>
    <mergeCell ref="C25:G25"/>
    <mergeCell ref="C20:G20"/>
    <mergeCell ref="C23:G23"/>
    <mergeCell ref="C21:G21"/>
    <mergeCell ref="C22:G22"/>
    <mergeCell ref="C24:G24"/>
  </mergeCells>
  <phoneticPr fontId="19" type="noConversion"/>
  <pageMargins left="0.7" right="0.7" top="0.75" bottom="0.75" header="0.3" footer="0.3"/>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622C6-78A9-432F-A7E2-4E82CF75D363}">
  <dimension ref="A1:C11"/>
  <sheetViews>
    <sheetView showGridLines="0" showRowColHeaders="0" workbookViewId="0">
      <selection activeCell="B20" sqref="B20"/>
    </sheetView>
  </sheetViews>
  <sheetFormatPr defaultRowHeight="15" x14ac:dyDescent="0.25"/>
  <cols>
    <col min="1" max="1" width="15.7109375" customWidth="1"/>
    <col min="2" max="2" width="74.42578125" bestFit="1" customWidth="1"/>
    <col min="3" max="3" width="22" customWidth="1"/>
  </cols>
  <sheetData>
    <row r="1" spans="1:3" x14ac:dyDescent="0.25">
      <c r="A1" s="222" t="s">
        <v>178</v>
      </c>
    </row>
    <row r="2" spans="1:3" x14ac:dyDescent="0.25">
      <c r="A2" s="245" t="s">
        <v>161</v>
      </c>
      <c r="B2" s="245"/>
      <c r="C2" s="245"/>
    </row>
    <row r="3" spans="1:3" ht="30" x14ac:dyDescent="0.25">
      <c r="A3" s="223" t="s">
        <v>179</v>
      </c>
      <c r="B3" s="223" t="s">
        <v>101</v>
      </c>
      <c r="C3" s="225" t="s">
        <v>180</v>
      </c>
    </row>
    <row r="4" spans="1:3" x14ac:dyDescent="0.25">
      <c r="A4" s="224" t="s">
        <v>162</v>
      </c>
      <c r="B4" s="224" t="s">
        <v>163</v>
      </c>
      <c r="C4" s="224">
        <v>2</v>
      </c>
    </row>
    <row r="5" spans="1:3" x14ac:dyDescent="0.25">
      <c r="A5" s="224" t="s">
        <v>165</v>
      </c>
      <c r="B5" s="224" t="s">
        <v>164</v>
      </c>
      <c r="C5" s="224">
        <v>6</v>
      </c>
    </row>
    <row r="6" spans="1:3" x14ac:dyDescent="0.25">
      <c r="A6" s="224" t="s">
        <v>166</v>
      </c>
      <c r="B6" s="224" t="s">
        <v>167</v>
      </c>
      <c r="C6" s="224" t="s">
        <v>23</v>
      </c>
    </row>
    <row r="7" spans="1:3" x14ac:dyDescent="0.25">
      <c r="A7" s="224" t="s">
        <v>168</v>
      </c>
      <c r="B7" s="224" t="s">
        <v>169</v>
      </c>
      <c r="C7" s="224" t="s">
        <v>24</v>
      </c>
    </row>
    <row r="8" spans="1:3" x14ac:dyDescent="0.25">
      <c r="A8" s="224" t="s">
        <v>170</v>
      </c>
      <c r="B8" s="224" t="s">
        <v>171</v>
      </c>
      <c r="C8" s="224">
        <v>1</v>
      </c>
    </row>
    <row r="9" spans="1:3" x14ac:dyDescent="0.25">
      <c r="A9" s="224" t="s">
        <v>172</v>
      </c>
      <c r="B9" s="224" t="s">
        <v>173</v>
      </c>
      <c r="C9" s="224">
        <v>2</v>
      </c>
    </row>
    <row r="10" spans="1:3" x14ac:dyDescent="0.25">
      <c r="A10" s="224" t="s">
        <v>174</v>
      </c>
      <c r="B10" s="224" t="s">
        <v>175</v>
      </c>
      <c r="C10" s="224">
        <v>3</v>
      </c>
    </row>
    <row r="11" spans="1:3" x14ac:dyDescent="0.25">
      <c r="A11" s="224" t="s">
        <v>176</v>
      </c>
      <c r="B11" s="224" t="s">
        <v>177</v>
      </c>
      <c r="C11" s="226" t="s">
        <v>181</v>
      </c>
    </row>
  </sheetData>
  <sheetProtection algorithmName="SHA-512" hashValue="NxZOl9us0XDf6ucE5d1NukF057/lkKAJF6bQcKdxQ2eFBkdmFhvRCuXxbhib80RzT/EoQVNSlPujuB2pDV/foQ==" saltValue="3jYi+qHs603K4lTSb6a7Uw==" spinCount="100000" sheet="1" objects="1" scenarios="1"/>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7"/>
  <sheetViews>
    <sheetView workbookViewId="0">
      <selection activeCell="E6" sqref="E6:H6"/>
    </sheetView>
  </sheetViews>
  <sheetFormatPr defaultRowHeight="12" x14ac:dyDescent="0.2"/>
  <cols>
    <col min="1" max="1" width="2.7109375" style="9" customWidth="1"/>
    <col min="2" max="2" width="39.85546875" style="3" bestFit="1" customWidth="1"/>
    <col min="3" max="3" width="5.7109375" style="9" customWidth="1"/>
    <col min="4" max="4" width="2.7109375" style="9" customWidth="1"/>
    <col min="5" max="5" width="72.5703125" style="3" bestFit="1" customWidth="1"/>
    <col min="6" max="6" width="2.7109375" style="9" customWidth="1"/>
    <col min="7" max="8" width="9.140625" style="15"/>
    <col min="9" max="9" width="4.7109375" style="3" customWidth="1"/>
    <col min="10" max="10" width="23.7109375" style="3" bestFit="1" customWidth="1"/>
    <col min="11" max="11" width="16.140625" style="3" bestFit="1" customWidth="1"/>
    <col min="12" max="16384" width="9.140625" style="3"/>
  </cols>
  <sheetData>
    <row r="1" spans="1:11" x14ac:dyDescent="0.2">
      <c r="B1" s="174" t="s">
        <v>98</v>
      </c>
      <c r="C1" s="93"/>
      <c r="D1" s="93"/>
      <c r="E1" s="31">
        <v>43662</v>
      </c>
      <c r="G1" s="15" t="s">
        <v>104</v>
      </c>
      <c r="H1" s="15" t="s">
        <v>105</v>
      </c>
      <c r="J1" s="175" t="s">
        <v>108</v>
      </c>
      <c r="K1" s="176" t="str">
        <f>ADDRESS(1,MATCH(E1,'Date Drivers'!2:2,0),1,1,"Date Drivers")</f>
        <v>'Date Drivers'!$AB$1</v>
      </c>
    </row>
    <row r="2" spans="1:11" x14ac:dyDescent="0.2">
      <c r="B2" s="174" t="s">
        <v>109</v>
      </c>
      <c r="C2" s="93"/>
      <c r="D2" s="93"/>
      <c r="E2" s="177" t="str">
        <f ca="1">INDEX(INDIRECT($K$1&amp;":"&amp;$K$2),5,1)</f>
        <v>RA331</v>
      </c>
      <c r="G2" s="15">
        <f ca="1">INDEX(INDIRECT($K$1&amp;":"&amp;$K$2),5,3)</f>
        <v>0</v>
      </c>
      <c r="H2" s="15" t="str">
        <f ca="1">INDEX(INDIRECT($K$1&amp;":"&amp;$K$2),5,4)</f>
        <v>Y</v>
      </c>
      <c r="I2" s="9"/>
      <c r="J2" s="175" t="s">
        <v>110</v>
      </c>
      <c r="K2" s="176" t="str">
        <f>ADDRESS(500,MATCH(E1,'Date Drivers'!2:2,0)+4,1,1)</f>
        <v>$AF$500</v>
      </c>
    </row>
    <row r="3" spans="1:11" x14ac:dyDescent="0.2">
      <c r="B3" s="178" t="s">
        <v>111</v>
      </c>
      <c r="C3" s="179"/>
      <c r="D3" s="94"/>
      <c r="E3" s="30" t="str">
        <f ca="1">E2&amp;F4&amp;F9&amp;F19&amp;F29&amp;F35&amp;F41&amp;F45</f>
        <v>RA3313D6X3CC</v>
      </c>
    </row>
    <row r="4" spans="1:11" x14ac:dyDescent="0.2">
      <c r="A4" s="155">
        <v>1</v>
      </c>
      <c r="B4" s="19" t="str">
        <f ca="1">INDIRECT("'Date Drivers'!B"&amp;MATCH(A4,'Date Drivers'!A:A,0))</f>
        <v>Power Supply</v>
      </c>
      <c r="C4" s="180" t="s">
        <v>24</v>
      </c>
      <c r="D4" s="95">
        <v>1</v>
      </c>
      <c r="E4" s="25" t="str">
        <f ca="1">VLOOKUP($D$4,$D$5:$F$7,2,FALSE)</f>
        <v>100-250 Vdc / 110-240 Vac</v>
      </c>
      <c r="F4" s="25">
        <f ca="1">VLOOKUP($D$4,$D$5:$F$7,3,FALSE)</f>
        <v>3</v>
      </c>
      <c r="G4" s="181">
        <f ca="1">VLOOKUP($D$4,$D$5:$H$7,4,FALSE)</f>
        <v>0</v>
      </c>
      <c r="H4" s="181" t="str">
        <f>VLOOKUP($D$4,$D$5:$H$7,5,FALSE)</f>
        <v>Y</v>
      </c>
    </row>
    <row r="5" spans="1:11" x14ac:dyDescent="0.2">
      <c r="C5" s="11">
        <f>MATCH(A4,'Date Drivers'!A:A,0)</f>
        <v>6</v>
      </c>
      <c r="D5" s="11">
        <v>1</v>
      </c>
      <c r="E5" s="21" t="str">
        <f ca="1">IF(INDEX(INDIRECT($K$1&amp;":"&amp;$K$2),C5,1)=0,"",INDEX(INDIRECT($K$1&amp;":"&amp;$K$2),C5,1))</f>
        <v>100-250 Vdc / 110-240 Vac</v>
      </c>
      <c r="F5" s="13">
        <f ca="1">IF(INDEX(INDIRECT($K$1&amp;":"&amp;$K$2),C5,1)=0,"",INDEX(INDIRECT($K$1&amp;":"&amp;$K$2),C5,2))</f>
        <v>3</v>
      </c>
      <c r="G5" s="10">
        <f ca="1">IF(INDEX(INDIRECT($K$1&amp;":"&amp;$K$2),C5,1)=0,"",INDEX(INDIRECT($K$1&amp;":"&amp;$K$2),C5,3))</f>
        <v>0</v>
      </c>
      <c r="H5" s="10" t="s">
        <v>107</v>
      </c>
    </row>
    <row r="6" spans="1:11" x14ac:dyDescent="0.2">
      <c r="C6" s="12">
        <f>C5+1</f>
        <v>7</v>
      </c>
      <c r="D6" s="12">
        <f>D5+1</f>
        <v>2</v>
      </c>
      <c r="E6" s="22"/>
      <c r="F6" s="14"/>
      <c r="G6" s="162"/>
      <c r="H6" s="162"/>
    </row>
    <row r="7" spans="1:11" x14ac:dyDescent="0.2">
      <c r="C7" s="20">
        <f>C6+1</f>
        <v>8</v>
      </c>
      <c r="D7" s="20">
        <f>D6+1</f>
        <v>3</v>
      </c>
      <c r="E7" s="23" t="str">
        <f ca="1">IF(INDEX(INDIRECT($K$1&amp;":"&amp;$K$2),C7,1)=0,"",INDEX(INDIRECT($K$1&amp;":"&amp;$K$2),C7,1))</f>
        <v/>
      </c>
      <c r="F7" s="26" t="str">
        <f ca="1">IF(INDEX(INDIRECT($K$1&amp;":"&amp;$K$2),C7,1)=0,"",INDEX(INDIRECT($K$1&amp;":"&amp;$K$2),C7,2))</f>
        <v/>
      </c>
      <c r="G7" s="169" t="str">
        <f ca="1">IF(INDEX(INDIRECT($K$1&amp;":"&amp;$K$2),C7,1)=0,"",INDEX(INDIRECT($K$1&amp;":"&amp;$K$2),C7,3))</f>
        <v/>
      </c>
      <c r="H7" s="169" t="str">
        <f ca="1">IF(INDEX(INDIRECT($K$1&amp;":"&amp;$K$2),C7,1)=0,"",INDEX(INDIRECT($K$1&amp;":"&amp;$K$2),C7,4))</f>
        <v/>
      </c>
    </row>
    <row r="9" spans="1:11" x14ac:dyDescent="0.2">
      <c r="A9" s="155">
        <v>2</v>
      </c>
      <c r="B9" s="19" t="str">
        <f ca="1">INDIRECT("'Date Drivers'!B"&amp;MATCH(A9,'Date Drivers'!A:A,0))</f>
        <v>Analogue Inputs 1 to 4</v>
      </c>
      <c r="C9" s="180" t="s">
        <v>24</v>
      </c>
      <c r="D9" s="95">
        <v>3</v>
      </c>
      <c r="E9" s="25" t="str">
        <f ca="1">VLOOKUP($D$9,$D$10:$F$17,2,FALSE)</f>
        <v>Voltage inputs ±10 Vdc / Current inputs 0-20 mAdc</v>
      </c>
      <c r="F9" s="25" t="str">
        <f ca="1">VLOOKUP($D$9,$D$10:$H$17,3,FALSE)</f>
        <v>D</v>
      </c>
      <c r="G9" s="25">
        <f ca="1">VLOOKUP($D$9,$D$10:$H$17,4,FALSE)</f>
        <v>0</v>
      </c>
      <c r="H9" s="25" t="str">
        <f ca="1">VLOOKUP($D$9,$D$10:$H$17,5,FALSE)</f>
        <v>Y</v>
      </c>
    </row>
    <row r="10" spans="1:11" x14ac:dyDescent="0.2">
      <c r="C10" s="11">
        <f>MATCH(A9,'Date Drivers'!A:A,0)</f>
        <v>9</v>
      </c>
      <c r="D10" s="11">
        <v>1</v>
      </c>
      <c r="E10" s="21" t="str">
        <f ca="1">IF(INDEX(INDIRECT($K$1&amp;":"&amp;$K$2),C11,1)=0,"",INDEX(INDIRECT($K$1&amp;":"&amp;$K$2),C11,1))</f>
        <v>Voltage inputs 115 V / Current inputs 1 A; full-scale 40 A (Ith = 100 A)</v>
      </c>
      <c r="F10" s="13">
        <f ca="1">IF(INDEX(INDIRECT($K$1&amp;":"&amp;$K$2),C11,1)=0,"",INDEX(INDIRECT($K$1&amp;":"&amp;$K$2),C11,2))</f>
        <v>2</v>
      </c>
      <c r="G10" s="10">
        <f t="shared" ref="G10:G17" ca="1" si="0">IF(INDEX(INDIRECT($K$1&amp;":"&amp;$K$2),C10,1)=0,"",INDEX(INDIRECT($K$1&amp;":"&amp;$K$2),C10,3))</f>
        <v>0</v>
      </c>
      <c r="H10" s="10" t="str">
        <f ca="1">IF(INDEX(INDIRECT($K$1&amp;":"&amp;$K$2),C10,1)=0,"",INDEX(INDIRECT($K$1&amp;":"&amp;$K$2),C10,4))</f>
        <v>Y</v>
      </c>
    </row>
    <row r="11" spans="1:11" x14ac:dyDescent="0.2">
      <c r="C11" s="12">
        <f>C10+1</f>
        <v>10</v>
      </c>
      <c r="D11" s="12">
        <f>D10+1</f>
        <v>2</v>
      </c>
      <c r="E11" s="22" t="str">
        <f ca="1">IF(INDEX(INDIRECT($K$1&amp;":"&amp;$K$2),C13,1)=0,"",INDEX(INDIRECT($K$1&amp;":"&amp;$K$2),C13,1))</f>
        <v>Voltage inputs 115 V / Current inputs 5 A; full-scale 200 A (Ith = 200 A)</v>
      </c>
      <c r="F11" s="13">
        <f ca="1">IF(INDEX(INDIRECT($K$1&amp;":"&amp;$K$2),C13,1)=0,"",INDEX(INDIRECT($K$1&amp;":"&amp;$K$2),C13,2))</f>
        <v>6</v>
      </c>
      <c r="G11" s="10">
        <f ca="1">IF(INDEX(INDIRECT($K$1&amp;":"&amp;$K$2),C12,1)=0,"",INDEX(INDIRECT($K$1&amp;":"&amp;$K$2),C12,3))</f>
        <v>0</v>
      </c>
      <c r="H11" s="10" t="str">
        <f ca="1">IF(INDEX(INDIRECT($K$1&amp;":"&amp;$K$2),C12,1)=0,"",INDEX(INDIRECT($K$1&amp;":"&amp;$K$2),C12,4))</f>
        <v>Y</v>
      </c>
    </row>
    <row r="12" spans="1:11" x14ac:dyDescent="0.2">
      <c r="C12" s="12">
        <f t="shared" ref="C12:C17" si="1">C11+1</f>
        <v>11</v>
      </c>
      <c r="D12" s="12">
        <f t="shared" ref="D12:D17" si="2">D11+1</f>
        <v>3</v>
      </c>
      <c r="E12" s="22" t="str">
        <f ca="1">IF(INDEX(INDIRECT($K$1&amp;":"&amp;$K$2),C15,1)=0,"",INDEX(INDIRECT($K$1&amp;":"&amp;$K$2),C15,1))</f>
        <v>Voltage inputs ±10 Vdc / Current inputs 0-20 mAdc</v>
      </c>
      <c r="F12" s="14" t="str">
        <f ca="1">IF(INDEX(INDIRECT($K$1&amp;":"&amp;$K$2),C15,1)=0,"",INDEX(INDIRECT($K$1&amp;":"&amp;$K$2),C15,2))</f>
        <v>D</v>
      </c>
      <c r="G12" s="10">
        <f ca="1">IF(INDEX(INDIRECT($K$1&amp;":"&amp;$K$2),C13,1)=0,"",INDEX(INDIRECT($K$1&amp;":"&amp;$K$2),C13,3))</f>
        <v>0</v>
      </c>
      <c r="H12" s="10" t="str">
        <f ca="1">IF(INDEX(INDIRECT($K$1&amp;":"&amp;$K$2),C13,1)=0,"",INDEX(INDIRECT($K$1&amp;":"&amp;$K$2),C13,4))</f>
        <v>Y</v>
      </c>
    </row>
    <row r="13" spans="1:11" x14ac:dyDescent="0.2">
      <c r="C13" s="12">
        <f t="shared" si="1"/>
        <v>12</v>
      </c>
      <c r="D13" s="12">
        <f t="shared" si="2"/>
        <v>4</v>
      </c>
      <c r="E13" s="22" t="str">
        <f ca="1">IF(INDEX(INDIRECT($K$1&amp;":"&amp;$K$2),C16,1)=0,"",INDEX(INDIRECT($K$1&amp;":"&amp;$K$2),C16,1))</f>
        <v>Voltage inputs 115 V / Current inputs 100 mA; full-scale 100 mA (Ith = 2 A)</v>
      </c>
      <c r="F13" s="14" t="str">
        <f ca="1">IF(INDEX(INDIRECT($K$1&amp;":"&amp;$K$2),C16,1)=0,"",INDEX(INDIRECT($K$1&amp;":"&amp;$K$2),C16,2))</f>
        <v>P</v>
      </c>
      <c r="G13" s="162">
        <f ca="1">IF(INDEX(INDIRECT($K$1&amp;":"&amp;$K$2),C14,1)=0,"",INDEX(INDIRECT($K$1&amp;":"&amp;$K$2),C14,3))</f>
        <v>0</v>
      </c>
      <c r="H13" s="162" t="str">
        <f ca="1">IF(INDEX(INDIRECT($K$1&amp;":"&amp;$K$2),C14,1)=0,"",INDEX(INDIRECT($K$1&amp;":"&amp;$K$2),C14,4))</f>
        <v>Y</v>
      </c>
    </row>
    <row r="14" spans="1:11" x14ac:dyDescent="0.2">
      <c r="C14" s="12">
        <f t="shared" si="1"/>
        <v>13</v>
      </c>
      <c r="D14" s="12">
        <f t="shared" si="2"/>
        <v>5</v>
      </c>
      <c r="E14" s="23" t="str">
        <f ca="1">IF(INDEX(INDIRECT($K$1&amp;":"&amp;$K$2),C17,1)=0,"",INDEX(INDIRECT($K$1&amp;":"&amp;$K$2),C17,1))</f>
        <v>Not installed</v>
      </c>
      <c r="F14" s="26" t="str">
        <f ca="1">IF(INDEX(INDIRECT($K$1&amp;":"&amp;$K$2),C17,1)=0,"",INDEX(INDIRECT($K$1&amp;":"&amp;$K$2),C17,2))</f>
        <v>X</v>
      </c>
      <c r="G14" s="162">
        <f ca="1">IF(INDEX(INDIRECT($K$1&amp;":"&amp;$K$2),C15,1)=0,"",INDEX(INDIRECT($K$1&amp;":"&amp;$K$2),C15,3))</f>
        <v>0</v>
      </c>
      <c r="H14" s="162" t="str">
        <f ca="1">IF(INDEX(INDIRECT($K$1&amp;":"&amp;$K$2),C15,1)=0,"",INDEX(INDIRECT($K$1&amp;":"&amp;$K$2),C15,4))</f>
        <v>Y</v>
      </c>
    </row>
    <row r="15" spans="1:11" x14ac:dyDescent="0.2">
      <c r="C15" s="12">
        <f t="shared" si="1"/>
        <v>14</v>
      </c>
      <c r="D15" s="12">
        <f t="shared" si="2"/>
        <v>6</v>
      </c>
      <c r="G15" s="162">
        <f ca="1">IF(INDEX(INDIRECT($K$1&amp;":"&amp;$K$2),C16,1)=0,"",INDEX(INDIRECT($K$1&amp;":"&amp;$K$2),C16,3))</f>
        <v>0</v>
      </c>
      <c r="H15" s="162" t="str">
        <f ca="1">IF(INDEX(INDIRECT($K$1&amp;":"&amp;$K$2),C16,1)=0,"",INDEX(INDIRECT($K$1&amp;":"&amp;$K$2),C16,4))</f>
        <v>Y</v>
      </c>
    </row>
    <row r="16" spans="1:11" x14ac:dyDescent="0.2">
      <c r="C16" s="12">
        <f t="shared" si="1"/>
        <v>15</v>
      </c>
      <c r="D16" s="12">
        <f t="shared" si="2"/>
        <v>7</v>
      </c>
      <c r="G16" s="162">
        <f t="shared" ref="G16" ca="1" si="3">IF(INDEX(INDIRECT($K$1&amp;":"&amp;$K$2),C16,1)=0,"",INDEX(INDIRECT($K$1&amp;":"&amp;$K$2),C16,3))</f>
        <v>0</v>
      </c>
      <c r="H16" s="162" t="str">
        <f t="shared" ref="H16" ca="1" si="4">IF(INDEX(INDIRECT($K$1&amp;":"&amp;$K$2),C16,1)=0,"",INDEX(INDIRECT($K$1&amp;":"&amp;$K$2),C16,4))</f>
        <v>Y</v>
      </c>
    </row>
    <row r="17" spans="1:8" x14ac:dyDescent="0.2">
      <c r="C17" s="12">
        <f t="shared" si="1"/>
        <v>16</v>
      </c>
      <c r="D17" s="12">
        <f t="shared" si="2"/>
        <v>8</v>
      </c>
      <c r="G17" s="169">
        <f t="shared" ca="1" si="0"/>
        <v>0</v>
      </c>
      <c r="H17" s="169" t="str">
        <f ca="1">IF(INDEX(INDIRECT($K$1&amp;":"&amp;$K$2),C17,1)=0,"",INDEX(INDIRECT($K$1&amp;":"&amp;$K$2),C17,4))</f>
        <v>Y</v>
      </c>
    </row>
    <row r="19" spans="1:8" x14ac:dyDescent="0.2">
      <c r="A19" s="155">
        <v>3</v>
      </c>
      <c r="B19" s="19" t="str">
        <f ca="1">INDIRECT("'Date Drivers'!B"&amp;MATCH(A19,'Date Drivers'!A:A,0))</f>
        <v>Analogue Inputs 5 to 8</v>
      </c>
      <c r="C19" s="180" t="s">
        <v>24</v>
      </c>
      <c r="D19" s="95">
        <v>2</v>
      </c>
      <c r="E19" s="25" t="str">
        <f ca="1">VLOOKUP($D$19,$D$20:$F$27,2,FALSE)</f>
        <v>Voltage inputs 115 V / Current inputs 5 A; full-scale 200 A (Ith = 200 A)</v>
      </c>
      <c r="F19" s="27">
        <f ca="1">VLOOKUP($D$19,$D$20:$F$27,3,FALSE)</f>
        <v>6</v>
      </c>
      <c r="G19" s="182">
        <f ca="1">VLOOKUP($D$19,$D$20:$H$27,4,FALSE)</f>
        <v>0</v>
      </c>
      <c r="H19" s="182" t="str">
        <f ca="1">VLOOKUP($D$19,$D$20:$H$27,5,FALSE)</f>
        <v>Y</v>
      </c>
    </row>
    <row r="20" spans="1:8" x14ac:dyDescent="0.2">
      <c r="C20" s="11">
        <f>MATCH(A19,'Date Drivers'!A:A,0)</f>
        <v>18</v>
      </c>
      <c r="D20" s="11">
        <v>1</v>
      </c>
      <c r="E20" s="28" t="str">
        <f ca="1">IF(INDEX(INDIRECT($K$1&amp;":"&amp;$K$2),C21,1)=0,"",INDEX(INDIRECT($K$1&amp;":"&amp;$K$2),C21,1))</f>
        <v>Voltage inputs 115 V / Current inputs 1 A; full-scale 40 A (Ith = 100 A)</v>
      </c>
      <c r="F20" s="11">
        <f ca="1">IF(INDEX(INDIRECT($K$1&amp;":"&amp;$K$2),C21,1)=0,"",INDEX(INDIRECT($K$1&amp;":"&amp;$K$2),C21,2))</f>
        <v>2</v>
      </c>
      <c r="G20" s="10">
        <f t="shared" ref="G20:G27" ca="1" si="5">IF(INDEX(INDIRECT($K$1&amp;":"&amp;$K$2),C20,1)=0,"",INDEX(INDIRECT($K$1&amp;":"&amp;$K$2),C20,3))</f>
        <v>0</v>
      </c>
      <c r="H20" s="10" t="str">
        <f ca="1">IF(INDEX(INDIRECT($K$1&amp;":"&amp;$K$2),C20,1)=0,"",INDEX(INDIRECT($K$1&amp;":"&amp;$K$2),C20,4))</f>
        <v>Y</v>
      </c>
    </row>
    <row r="21" spans="1:8" x14ac:dyDescent="0.2">
      <c r="C21" s="12">
        <f>C20+1</f>
        <v>19</v>
      </c>
      <c r="D21" s="12">
        <f>D20+1</f>
        <v>2</v>
      </c>
      <c r="E21" s="29" t="str">
        <f ca="1">IF(INDEX(INDIRECT($K$1&amp;":"&amp;$K$2),C23,1)=0,"",INDEX(INDIRECT($K$1&amp;":"&amp;$K$2),C23,1))</f>
        <v>Voltage inputs 115 V / Current inputs 5 A; full-scale 200 A (Ith = 200 A)</v>
      </c>
      <c r="F21" s="12">
        <f ca="1">IF(INDEX(INDIRECT($K$1&amp;":"&amp;$K$2),C23,1)=0,"",INDEX(INDIRECT($K$1&amp;":"&amp;$K$2),C23,2))</f>
        <v>6</v>
      </c>
      <c r="G21" s="10">
        <f ca="1">IF(INDEX(INDIRECT($K$1&amp;":"&amp;$K$2),C22,1)=0,"",INDEX(INDIRECT($K$1&amp;":"&amp;$K$2),C22,3))</f>
        <v>0</v>
      </c>
      <c r="H21" s="10" t="str">
        <f ca="1">IF(INDEX(INDIRECT($K$1&amp;":"&amp;$K$2),C22,1)=0,"",INDEX(INDIRECT($K$1&amp;":"&amp;$K$2),C22,4))</f>
        <v>Y</v>
      </c>
    </row>
    <row r="22" spans="1:8" x14ac:dyDescent="0.2">
      <c r="C22" s="12">
        <f t="shared" ref="C22:C27" si="6">C21+1</f>
        <v>20</v>
      </c>
      <c r="D22" s="12">
        <f t="shared" ref="D22:D27" si="7">D21+1</f>
        <v>3</v>
      </c>
      <c r="E22" s="29" t="str">
        <f ca="1">IF(INDEX(INDIRECT($K$1&amp;":"&amp;$K$2),C25,1)=0,"",INDEX(INDIRECT($K$1&amp;":"&amp;$K$2),C25,1))</f>
        <v>Voltage inputs ±10 Vdc / Current inputs 0-20 mAdc</v>
      </c>
      <c r="F22" s="12" t="str">
        <f ca="1">IF(INDEX(INDIRECT($K$1&amp;":"&amp;$K$2),C25,1)=0,"",INDEX(INDIRECT($K$1&amp;":"&amp;$K$2),C25,2))</f>
        <v>D</v>
      </c>
      <c r="G22" s="10">
        <f ca="1">IF(INDEX(INDIRECT($K$1&amp;":"&amp;$K$2),C23,1)=0,"",INDEX(INDIRECT($K$1&amp;":"&amp;$K$2),C23,3))</f>
        <v>0</v>
      </c>
      <c r="H22" s="10" t="str">
        <f ca="1">IF(INDEX(INDIRECT($K$1&amp;":"&amp;$K$2),C23,1)=0,"",INDEX(INDIRECT($K$1&amp;":"&amp;$K$2),C23,4))</f>
        <v>Y</v>
      </c>
    </row>
    <row r="23" spans="1:8" x14ac:dyDescent="0.2">
      <c r="C23" s="12">
        <f t="shared" si="6"/>
        <v>21</v>
      </c>
      <c r="D23" s="12">
        <f t="shared" si="7"/>
        <v>4</v>
      </c>
      <c r="E23" s="29" t="str">
        <f ca="1">IF(INDEX(INDIRECT($K$1&amp;":"&amp;$K$2),C26,1)=0,"",INDEX(INDIRECT($K$1&amp;":"&amp;$K$2),C26,1))</f>
        <v>Voltage inputs 115 V / Current inputs 100 mA; full-scale 100 mA (Ith = 2 A)</v>
      </c>
      <c r="F23" s="12" t="str">
        <f ca="1">IF(INDEX(INDIRECT($K$1&amp;":"&amp;$K$2),C26,1)=0,"",INDEX(INDIRECT($K$1&amp;":"&amp;$K$2),C26,2))</f>
        <v>P</v>
      </c>
      <c r="G23" s="10">
        <f ca="1">IF(INDEX(INDIRECT($K$1&amp;":"&amp;$K$2),C24,1)=0,"",INDEX(INDIRECT($K$1&amp;":"&amp;$K$2),C24,3))</f>
        <v>0</v>
      </c>
      <c r="H23" s="162" t="str">
        <f ca="1">IF(INDEX(INDIRECT($K$1&amp;":"&amp;$K$2),C24,1)=0,"",INDEX(INDIRECT($K$1&amp;":"&amp;$K$2),C24,4))</f>
        <v>Y</v>
      </c>
    </row>
    <row r="24" spans="1:8" x14ac:dyDescent="0.2">
      <c r="C24" s="12">
        <f t="shared" si="6"/>
        <v>22</v>
      </c>
      <c r="D24" s="12">
        <f t="shared" si="7"/>
        <v>5</v>
      </c>
      <c r="E24" s="97" t="str">
        <f ca="1">IF(INDEX(INDIRECT($K$1&amp;":"&amp;$K$2),C27,1)=0,"",INDEX(INDIRECT($K$1&amp;":"&amp;$K$2),C27,1))</f>
        <v>Not installed</v>
      </c>
      <c r="F24" s="20" t="str">
        <f ca="1">IF(INDEX(INDIRECT($K$1&amp;":"&amp;$K$2),C27,1)=0,"",INDEX(INDIRECT($K$1&amp;":"&amp;$K$2),C27,2))</f>
        <v>X</v>
      </c>
      <c r="G24" s="162">
        <f ca="1">IF(INDEX(INDIRECT($K$1&amp;":"&amp;$K$2),C25,1)=0,"",INDEX(INDIRECT($K$1&amp;":"&amp;$K$2),C25,3))</f>
        <v>0</v>
      </c>
      <c r="H24" s="162" t="str">
        <f ca="1">IF(INDEX(INDIRECT($K$1&amp;":"&amp;$K$2),C25,1)=0,"",INDEX(INDIRECT($K$1&amp;":"&amp;$K$2),C25,4))</f>
        <v>Y</v>
      </c>
    </row>
    <row r="25" spans="1:8" x14ac:dyDescent="0.2">
      <c r="C25" s="12">
        <f t="shared" si="6"/>
        <v>23</v>
      </c>
      <c r="D25" s="12">
        <f t="shared" si="7"/>
        <v>6</v>
      </c>
      <c r="G25" s="162">
        <f ca="1">IF(INDEX(INDIRECT($K$1&amp;":"&amp;$K$2),C26,1)=0,"",INDEX(INDIRECT($K$1&amp;":"&amp;$K$2),C26,3))</f>
        <v>0</v>
      </c>
      <c r="H25" s="162" t="str">
        <f ca="1">IF(INDEX(INDIRECT($K$1&amp;":"&amp;$K$2),C26,1)=0,"",INDEX(INDIRECT($K$1&amp;":"&amp;$K$2),C26,4))</f>
        <v>Y</v>
      </c>
    </row>
    <row r="26" spans="1:8" x14ac:dyDescent="0.2">
      <c r="C26" s="12">
        <f t="shared" si="6"/>
        <v>24</v>
      </c>
      <c r="D26" s="12">
        <f t="shared" si="7"/>
        <v>7</v>
      </c>
      <c r="G26" s="162">
        <f t="shared" ca="1" si="5"/>
        <v>0</v>
      </c>
      <c r="H26" s="162" t="str">
        <f t="shared" ref="H26:H27" ca="1" si="8">IF(INDEX(INDIRECT($K$1&amp;":"&amp;$K$2),C26,1)=0,"",INDEX(INDIRECT($K$1&amp;":"&amp;$K$2),C26,4))</f>
        <v>Y</v>
      </c>
    </row>
    <row r="27" spans="1:8" x14ac:dyDescent="0.2">
      <c r="C27" s="12">
        <f t="shared" si="6"/>
        <v>25</v>
      </c>
      <c r="D27" s="12">
        <f t="shared" si="7"/>
        <v>8</v>
      </c>
      <c r="G27" s="169">
        <f t="shared" ca="1" si="5"/>
        <v>0</v>
      </c>
      <c r="H27" s="169" t="str">
        <f t="shared" ca="1" si="8"/>
        <v>Y</v>
      </c>
    </row>
    <row r="28" spans="1:8" x14ac:dyDescent="0.2">
      <c r="B28" s="3">
        <v>1</v>
      </c>
    </row>
    <row r="29" spans="1:8" x14ac:dyDescent="0.2">
      <c r="A29" s="155">
        <v>4</v>
      </c>
      <c r="B29" s="19" t="str">
        <f ca="1">INDIRECT("'Date Drivers'!B"&amp;MATCH(A29,'Date Drivers'!A:A,0))</f>
        <v>Digital Inputs 1 to 16</v>
      </c>
      <c r="C29" s="180"/>
      <c r="D29" s="96">
        <v>4</v>
      </c>
      <c r="E29" s="27" t="str">
        <f ca="1">VLOOKUP($D$29,$D$30:$F$33,2,FALSE)</f>
        <v>Not installed</v>
      </c>
      <c r="F29" s="25" t="str">
        <f ca="1">VLOOKUP($D$29,$D$30:$F$33,3,FALSE)</f>
        <v>X</v>
      </c>
      <c r="G29" s="181">
        <f ca="1">VLOOKUP($D$29,$D$30:$H$33,4,FALSE)</f>
        <v>0</v>
      </c>
      <c r="H29" s="181" t="str">
        <f ca="1">VLOOKUP($D$29,$D$30:$H$33,5,FALSE)</f>
        <v>Y</v>
      </c>
    </row>
    <row r="30" spans="1:8" x14ac:dyDescent="0.2">
      <c r="C30" s="11">
        <f>MATCH(A29,'Date Drivers'!A:A,0)</f>
        <v>27</v>
      </c>
      <c r="D30" s="16">
        <v>1</v>
      </c>
      <c r="E30" s="21" t="str">
        <f t="shared" ref="E30:E33" ca="1" si="9">IF(INDEX(INDIRECT($K$1&amp;":"&amp;$K$2),C30,1)=0,"",INDEX(INDIRECT($K$1&amp;":"&amp;$K$2),C30,1))</f>
        <v>24 V / 48 V</v>
      </c>
      <c r="F30" s="13">
        <f t="shared" ref="F30:F33" ca="1" si="10">IF(INDEX(INDIRECT($K$1&amp;":"&amp;$K$2),C30,1)=0,"",INDEX(INDIRECT($K$1&amp;":"&amp;$K$2),C30,2))</f>
        <v>1</v>
      </c>
      <c r="G30" s="10">
        <f t="shared" ref="G30:G33" ca="1" si="11">IF(INDEX(INDIRECT($K$1&amp;":"&amp;$K$2),C30,1)=0,"",INDEX(INDIRECT($K$1&amp;":"&amp;$K$2),C30,3))</f>
        <v>0</v>
      </c>
      <c r="H30" s="10" t="str">
        <f t="shared" ref="H30:H33" ca="1" si="12">IF(INDEX(INDIRECT($K$1&amp;":"&amp;$K$2),C30,1)=0,"",INDEX(INDIRECT($K$1&amp;":"&amp;$K$2),C30,4))</f>
        <v>Y</v>
      </c>
    </row>
    <row r="31" spans="1:8" x14ac:dyDescent="0.2">
      <c r="C31" s="12">
        <f t="shared" ref="C31:D33" si="13">C30+1</f>
        <v>28</v>
      </c>
      <c r="D31" s="17">
        <f t="shared" si="13"/>
        <v>2</v>
      </c>
      <c r="E31" s="22" t="str">
        <f t="shared" ca="1" si="9"/>
        <v>125 V</v>
      </c>
      <c r="F31" s="14">
        <f t="shared" ca="1" si="10"/>
        <v>2</v>
      </c>
      <c r="G31" s="162">
        <f t="shared" ca="1" si="11"/>
        <v>0</v>
      </c>
      <c r="H31" s="162" t="str">
        <f t="shared" ca="1" si="12"/>
        <v>Y</v>
      </c>
    </row>
    <row r="32" spans="1:8" x14ac:dyDescent="0.2">
      <c r="C32" s="12">
        <f t="shared" si="13"/>
        <v>29</v>
      </c>
      <c r="D32" s="17">
        <f t="shared" si="13"/>
        <v>3</v>
      </c>
      <c r="E32" s="22" t="str">
        <f t="shared" ca="1" si="9"/>
        <v>250 V</v>
      </c>
      <c r="F32" s="14">
        <f t="shared" ca="1" si="10"/>
        <v>3</v>
      </c>
      <c r="G32" s="162">
        <f t="shared" ca="1" si="11"/>
        <v>0</v>
      </c>
      <c r="H32" s="162" t="str">
        <f t="shared" ca="1" si="12"/>
        <v>Y</v>
      </c>
    </row>
    <row r="33" spans="1:8" x14ac:dyDescent="0.2">
      <c r="C33" s="20">
        <f t="shared" si="13"/>
        <v>30</v>
      </c>
      <c r="D33" s="18">
        <f t="shared" si="13"/>
        <v>4</v>
      </c>
      <c r="E33" s="23" t="str">
        <f t="shared" ca="1" si="9"/>
        <v>Not installed</v>
      </c>
      <c r="F33" s="26" t="str">
        <f t="shared" ca="1" si="10"/>
        <v>X</v>
      </c>
      <c r="G33" s="169">
        <f t="shared" ca="1" si="11"/>
        <v>0</v>
      </c>
      <c r="H33" s="169" t="str">
        <f t="shared" ca="1" si="12"/>
        <v>Y</v>
      </c>
    </row>
    <row r="35" spans="1:8" x14ac:dyDescent="0.2">
      <c r="A35" s="155">
        <v>5</v>
      </c>
      <c r="B35" s="19" t="str">
        <f ca="1">INDIRECT("'Date Drivers'!B"&amp;MATCH(A35,'Date Drivers'!A:A,0))</f>
        <v>Digital Inputs 17 to 32</v>
      </c>
      <c r="C35" s="180"/>
      <c r="D35" s="96">
        <v>3</v>
      </c>
      <c r="E35" s="27" t="str">
        <f ca="1">VLOOKUP($D$35,$D$36:$F$39,2,FALSE)</f>
        <v>250 V</v>
      </c>
      <c r="F35" s="25">
        <f ca="1">VLOOKUP($D$35,D36:H39,3,FALSE)</f>
        <v>3</v>
      </c>
      <c r="G35" s="181">
        <f ca="1">VLOOKUP($D$35,D36:H39,4,FALSE)</f>
        <v>0</v>
      </c>
      <c r="H35" s="181" t="str">
        <f ca="1">VLOOKUP($D$35,D36:H39,5,FALSE)</f>
        <v>Y</v>
      </c>
    </row>
    <row r="36" spans="1:8" x14ac:dyDescent="0.2">
      <c r="C36" s="11">
        <f>MATCH(A35,'Date Drivers'!A:A,0)</f>
        <v>32</v>
      </c>
      <c r="D36" s="16">
        <v>1</v>
      </c>
      <c r="E36" s="21" t="str">
        <f t="shared" ref="E36:E39" ca="1" si="14">IF(INDEX(INDIRECT($K$1&amp;":"&amp;$K$2),C36,1)=0,"",INDEX(INDIRECT($K$1&amp;":"&amp;$K$2),C36,1))</f>
        <v>24 V / 48 V</v>
      </c>
      <c r="F36" s="13">
        <f t="shared" ref="F36:F39" ca="1" si="15">IF(INDEX(INDIRECT($K$1&amp;":"&amp;$K$2),C36,1)=0,"",INDEX(INDIRECT($K$1&amp;":"&amp;$K$2),C36,2))</f>
        <v>1</v>
      </c>
      <c r="G36" s="10">
        <f t="shared" ref="G36:G39" ca="1" si="16">IF(INDEX(INDIRECT($K$1&amp;":"&amp;$K$2),C36,1)=0,"",INDEX(INDIRECT($K$1&amp;":"&amp;$K$2),C36,3))</f>
        <v>0</v>
      </c>
      <c r="H36" s="10" t="str">
        <f t="shared" ref="H36:H39" ca="1" si="17">IF(INDEX(INDIRECT($K$1&amp;":"&amp;$K$2),C36,1)=0,"",INDEX(INDIRECT($K$1&amp;":"&amp;$K$2),C36,4))</f>
        <v>Y</v>
      </c>
    </row>
    <row r="37" spans="1:8" x14ac:dyDescent="0.2">
      <c r="C37" s="12">
        <f t="shared" ref="C37:D39" si="18">C36+1</f>
        <v>33</v>
      </c>
      <c r="D37" s="17">
        <f t="shared" si="18"/>
        <v>2</v>
      </c>
      <c r="E37" s="22" t="str">
        <f t="shared" ca="1" si="14"/>
        <v>125 V</v>
      </c>
      <c r="F37" s="14">
        <f t="shared" ca="1" si="15"/>
        <v>2</v>
      </c>
      <c r="G37" s="162">
        <f t="shared" ca="1" si="16"/>
        <v>0</v>
      </c>
      <c r="H37" s="162" t="str">
        <f t="shared" ca="1" si="17"/>
        <v>Y</v>
      </c>
    </row>
    <row r="38" spans="1:8" x14ac:dyDescent="0.2">
      <c r="C38" s="12">
        <f t="shared" si="18"/>
        <v>34</v>
      </c>
      <c r="D38" s="17">
        <f t="shared" si="18"/>
        <v>3</v>
      </c>
      <c r="E38" s="22" t="str">
        <f t="shared" ca="1" si="14"/>
        <v>250 V</v>
      </c>
      <c r="F38" s="14">
        <f t="shared" ca="1" si="15"/>
        <v>3</v>
      </c>
      <c r="G38" s="162">
        <f t="shared" ca="1" si="16"/>
        <v>0</v>
      </c>
      <c r="H38" s="162" t="str">
        <f t="shared" ca="1" si="17"/>
        <v>Y</v>
      </c>
    </row>
    <row r="39" spans="1:8" x14ac:dyDescent="0.2">
      <c r="C39" s="20">
        <f t="shared" si="18"/>
        <v>35</v>
      </c>
      <c r="D39" s="18">
        <f t="shared" si="18"/>
        <v>4</v>
      </c>
      <c r="E39" s="23" t="str">
        <f t="shared" ca="1" si="14"/>
        <v>Not installed</v>
      </c>
      <c r="F39" s="26" t="str">
        <f t="shared" ca="1" si="15"/>
        <v>X</v>
      </c>
      <c r="G39" s="169">
        <f t="shared" ca="1" si="16"/>
        <v>0</v>
      </c>
      <c r="H39" s="169" t="str">
        <f t="shared" ca="1" si="17"/>
        <v>Y</v>
      </c>
    </row>
    <row r="41" spans="1:8" x14ac:dyDescent="0.2">
      <c r="A41" s="155">
        <v>6</v>
      </c>
      <c r="B41" s="19" t="str">
        <f ca="1">INDIRECT("'Date Drivers'!B"&amp;MATCH(A41,'Date Drivers'!A:A,0))</f>
        <v>Customization / Regionalisation</v>
      </c>
      <c r="C41" s="180"/>
      <c r="D41" s="96">
        <v>1</v>
      </c>
      <c r="E41" s="27" t="str">
        <f ca="1">VLOOKUP($D$41,$D$42:$H$43,2,FALSE)</f>
        <v>GE branding</v>
      </c>
      <c r="F41" s="27" t="str">
        <f ca="1">VLOOKUP($D$41,D42:H43,3,FALSE)</f>
        <v>C</v>
      </c>
      <c r="G41" s="182">
        <f ca="1">VLOOKUP($D$41,D42:H43,4,FALSE)</f>
        <v>0</v>
      </c>
      <c r="H41" s="182" t="str">
        <f ca="1">VLOOKUP($D$41,D42:H43,5,FALSE)</f>
        <v>Y</v>
      </c>
    </row>
    <row r="42" spans="1:8" x14ac:dyDescent="0.2">
      <c r="A42" s="167"/>
      <c r="B42" s="24"/>
      <c r="C42" s="155">
        <f>MATCH(A41,'Date Drivers'!A:A,0)</f>
        <v>37</v>
      </c>
      <c r="D42" s="155">
        <v>1</v>
      </c>
      <c r="E42" s="209" t="str">
        <f t="shared" ref="E42" ca="1" si="19">IF(INDEX(INDIRECT($K$1&amp;":"&amp;$K$2),C42,1)=0,"",INDEX(INDIRECT($K$1&amp;":"&amp;$K$2),C42,1))</f>
        <v>GE branding</v>
      </c>
      <c r="F42" s="210" t="str">
        <f t="shared" ref="F42" ca="1" si="20">IF(INDEX(INDIRECT($K$1&amp;":"&amp;$K$2),C42,1)=0,"",INDEX(INDIRECT($K$1&amp;":"&amp;$K$2),C42,2))</f>
        <v>C</v>
      </c>
      <c r="G42" s="160">
        <f t="shared" ref="G42" ca="1" si="21">IF(INDEX(INDIRECT($K$1&amp;":"&amp;$K$2),C42,1)=0,"",INDEX(INDIRECT($K$1&amp;":"&amp;$K$2),C42,3))</f>
        <v>0</v>
      </c>
      <c r="H42" s="160" t="str">
        <f t="shared" ref="H42" ca="1" si="22">IF(INDEX(INDIRECT($K$1&amp;":"&amp;$K$2),C42,1)=0,"",INDEX(INDIRECT($K$1&amp;":"&amp;$K$2),C42,4))</f>
        <v>Y</v>
      </c>
    </row>
    <row r="43" spans="1:8" x14ac:dyDescent="0.2">
      <c r="C43" s="155">
        <f>C42+1</f>
        <v>38</v>
      </c>
      <c r="D43" s="155">
        <f>D42+1</f>
        <v>2</v>
      </c>
      <c r="E43" s="209" t="str">
        <f t="shared" ref="E43" ca="1" si="23">IF(INDEX(INDIRECT($K$1&amp;":"&amp;$K$2),C43,1)=0,"",INDEX(INDIRECT($K$1&amp;":"&amp;$K$2),C43,1))</f>
        <v/>
      </c>
      <c r="F43" s="210" t="str">
        <f t="shared" ref="F43" ca="1" si="24">IF(INDEX(INDIRECT($K$1&amp;":"&amp;$K$2),C43,1)=0,"",INDEX(INDIRECT($K$1&amp;":"&amp;$K$2),C43,2))</f>
        <v/>
      </c>
      <c r="G43" s="160" t="str">
        <f t="shared" ref="G43" ca="1" si="25">IF(INDEX(INDIRECT($K$1&amp;":"&amp;$K$2),C43,1)=0,"",INDEX(INDIRECT($K$1&amp;":"&amp;$K$2),C43,3))</f>
        <v/>
      </c>
      <c r="H43" s="160" t="str">
        <f t="shared" ref="H43" ca="1" si="26">IF(INDEX(INDIRECT($K$1&amp;":"&amp;$K$2),C43,1)=0,"",INDEX(INDIRECT($K$1&amp;":"&amp;$K$2),C43,4))</f>
        <v/>
      </c>
    </row>
    <row r="45" spans="1:8" x14ac:dyDescent="0.2">
      <c r="A45" s="155">
        <v>7</v>
      </c>
      <c r="B45" s="19" t="str">
        <f ca="1">INDIRECT("'Date Drivers'!B"&amp;MATCH(A45,'Date Drivers'!A:A,0))</f>
        <v>Hardware Design Suffix</v>
      </c>
      <c r="C45" s="180"/>
      <c r="D45" s="96">
        <v>1</v>
      </c>
      <c r="E45" s="27" t="str">
        <f ca="1">VLOOKUP($D$45,$D$46:$F$47,2,FALSE)</f>
        <v>Third version</v>
      </c>
      <c r="F45" s="25" t="str">
        <f ca="1">VLOOKUP($D$45,$D$46:$F$47,3,FALSE)</f>
        <v>C</v>
      </c>
      <c r="G45" s="181">
        <f ca="1">VLOOKUP($D$45,$D$46:$H$47,4,FALSE)</f>
        <v>0</v>
      </c>
      <c r="H45" s="181" t="str">
        <f ca="1">VLOOKUP($D$45,$D$46:$H$47,5,FALSE)</f>
        <v>Y</v>
      </c>
    </row>
    <row r="46" spans="1:8" x14ac:dyDescent="0.2">
      <c r="C46" s="11">
        <f>MATCH(A45,'Date Drivers'!A:A,0)</f>
        <v>40</v>
      </c>
      <c r="D46" s="16">
        <v>1</v>
      </c>
      <c r="E46" s="21" t="str">
        <f ca="1">IF(INDEX(INDIRECT($K$1&amp;":"&amp;$K$2),C46,1)=0,"",INDEX(INDIRECT($K$1&amp;":"&amp;$K$2),C46,1))</f>
        <v>Third version</v>
      </c>
      <c r="F46" s="11" t="str">
        <f ca="1">IF(INDEX(INDIRECT($K$1&amp;":"&amp;$K$2),C46,1)=0,"",INDEX(INDIRECT($K$1&amp;":"&amp;$K$2),C46,2))</f>
        <v>C</v>
      </c>
      <c r="G46" s="10">
        <f t="shared" ref="G46" ca="1" si="27">IF(INDEX(INDIRECT($K$1&amp;":"&amp;$K$2),C46,1)=0,"",INDEX(INDIRECT($K$1&amp;":"&amp;$K$2),C46,3))</f>
        <v>0</v>
      </c>
      <c r="H46" s="10" t="str">
        <f t="shared" ref="H46" ca="1" si="28">IF(INDEX(INDIRECT($K$1&amp;":"&amp;$K$2),C46,1)=0,"",INDEX(INDIRECT($K$1&amp;":"&amp;$K$2),C46,4))</f>
        <v>Y</v>
      </c>
    </row>
    <row r="47" spans="1:8" x14ac:dyDescent="0.2">
      <c r="C47" s="20">
        <f>C46+1</f>
        <v>41</v>
      </c>
      <c r="D47" s="18">
        <f t="shared" ref="D47" si="29">D46+1</f>
        <v>2</v>
      </c>
      <c r="E47" s="97" t="str">
        <f t="shared" ref="E47" ca="1" si="30">IF(INDEX(INDIRECT($K$1&amp;":"&amp;$K$2),C47,1)=0,"",INDEX(INDIRECT($K$1&amp;":"&amp;$K$2),C47,1))</f>
        <v/>
      </c>
      <c r="F47" s="20" t="str">
        <f t="shared" ref="F47" ca="1" si="31">IF(INDEX(INDIRECT($K$1&amp;":"&amp;$K$2),C47,1)=0,"",INDEX(INDIRECT($K$1&amp;":"&amp;$K$2),C47,2))</f>
        <v/>
      </c>
      <c r="G47" s="169" t="str">
        <f t="shared" ref="G47" ca="1" si="32">IF(INDEX(INDIRECT($K$1&amp;":"&amp;$K$2),C47,1)=0,"",INDEX(INDIRECT($K$1&amp;":"&amp;$K$2),C47,3))</f>
        <v/>
      </c>
      <c r="H47" s="169" t="str">
        <f t="shared" ref="H47" ca="1" si="33">IF(INDEX(INDIRECT($K$1&amp;":"&amp;$K$2),C47,1)=0,"",INDEX(INDIRECT($K$1&amp;":"&amp;$K$2),C47,4))</f>
        <v/>
      </c>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J41"/>
  <sheetViews>
    <sheetView workbookViewId="0">
      <pane xSplit="1" ySplit="1" topLeftCell="AC2" activePane="bottomRight" state="frozen"/>
      <selection pane="topRight" activeCell="B1" sqref="B1"/>
      <selection pane="bottomLeft" activeCell="A2" sqref="A2"/>
      <selection pane="bottomRight" activeCell="AG6" sqref="AG6"/>
    </sheetView>
  </sheetViews>
  <sheetFormatPr defaultRowHeight="12" x14ac:dyDescent="0.2"/>
  <cols>
    <col min="1" max="1" width="9.140625" style="167"/>
    <col min="2" max="2" width="34" style="3" bestFit="1" customWidth="1"/>
    <col min="3" max="3" width="72.5703125" style="165" bestFit="1" customWidth="1"/>
    <col min="4" max="7" width="10.7109375" style="165" customWidth="1"/>
    <col min="8" max="8" width="72.5703125" style="165" bestFit="1" customWidth="1"/>
    <col min="9" max="11" width="10.7109375" style="165" customWidth="1"/>
    <col min="12" max="12" width="9.140625" style="3"/>
    <col min="13" max="13" width="72.5703125" style="165" bestFit="1" customWidth="1"/>
    <col min="14" max="16" width="10.7109375" style="165" customWidth="1"/>
    <col min="17" max="17" width="9.140625" style="3"/>
    <col min="18" max="18" width="59.7109375" style="3" bestFit="1" customWidth="1"/>
    <col min="19" max="22" width="9.140625" style="3"/>
    <col min="23" max="23" width="63.42578125" style="3" customWidth="1"/>
    <col min="24" max="27" width="9.140625" style="3"/>
    <col min="28" max="28" width="66.28515625" style="3" bestFit="1" customWidth="1"/>
    <col min="29" max="32" width="9.140625" style="3"/>
    <col min="33" max="33" width="66.28515625" style="3" bestFit="1" customWidth="1"/>
    <col min="34" max="16384" width="9.140625" style="3"/>
  </cols>
  <sheetData>
    <row r="1" spans="1:36" x14ac:dyDescent="0.2">
      <c r="A1" s="144"/>
      <c r="B1" s="145" t="s">
        <v>98</v>
      </c>
      <c r="C1" s="146">
        <f>Database!$E$1</f>
        <v>43662</v>
      </c>
      <c r="D1" s="146"/>
      <c r="E1" s="146"/>
      <c r="F1" s="146"/>
      <c r="G1" s="147"/>
      <c r="H1" s="146">
        <f>Database!$E$1</f>
        <v>43662</v>
      </c>
      <c r="I1" s="146"/>
      <c r="J1" s="146"/>
      <c r="K1" s="146"/>
      <c r="M1" s="146">
        <f>Database!$E$1</f>
        <v>43662</v>
      </c>
      <c r="N1" s="146"/>
      <c r="O1" s="146"/>
      <c r="P1" s="146"/>
      <c r="R1" s="146">
        <f>Database!$E$1</f>
        <v>43662</v>
      </c>
      <c r="S1" s="146"/>
      <c r="T1" s="146"/>
      <c r="U1" s="146"/>
      <c r="W1" s="146">
        <f>Database!$E$1</f>
        <v>43662</v>
      </c>
      <c r="X1" s="146"/>
      <c r="Y1" s="146"/>
      <c r="Z1" s="146"/>
      <c r="AB1" s="146">
        <f>Database!$E$1</f>
        <v>43662</v>
      </c>
      <c r="AC1" s="146"/>
      <c r="AD1" s="146"/>
      <c r="AE1" s="146"/>
      <c r="AG1" s="146">
        <f>Database!$E$1</f>
        <v>43662</v>
      </c>
      <c r="AH1" s="146"/>
      <c r="AI1" s="146"/>
      <c r="AJ1" s="146"/>
    </row>
    <row r="2" spans="1:36" x14ac:dyDescent="0.2">
      <c r="A2" s="144"/>
      <c r="B2" s="145" t="s">
        <v>99</v>
      </c>
      <c r="C2" s="148">
        <v>41709</v>
      </c>
      <c r="D2" s="149"/>
      <c r="E2" s="149"/>
      <c r="F2" s="149"/>
      <c r="G2" s="150"/>
      <c r="H2" s="148">
        <v>42110</v>
      </c>
      <c r="I2" s="149"/>
      <c r="J2" s="149"/>
      <c r="K2" s="149"/>
      <c r="M2" s="148">
        <v>42494</v>
      </c>
      <c r="N2" s="149"/>
      <c r="O2" s="149"/>
      <c r="P2" s="149"/>
      <c r="R2" s="148">
        <v>43161</v>
      </c>
      <c r="S2" s="149"/>
      <c r="T2" s="149"/>
      <c r="U2" s="149"/>
      <c r="W2" s="148">
        <v>43395</v>
      </c>
      <c r="X2" s="149"/>
      <c r="Y2" s="149"/>
      <c r="Z2" s="149"/>
      <c r="AB2" s="148">
        <v>43662</v>
      </c>
      <c r="AC2" s="149"/>
      <c r="AD2" s="149"/>
      <c r="AE2" s="149"/>
      <c r="AG2" s="148">
        <v>44224</v>
      </c>
      <c r="AH2" s="149"/>
      <c r="AI2" s="149"/>
      <c r="AJ2" s="149"/>
    </row>
    <row r="3" spans="1:36" x14ac:dyDescent="0.2">
      <c r="A3" s="151" t="s">
        <v>100</v>
      </c>
      <c r="B3" s="152" t="s">
        <v>101</v>
      </c>
      <c r="C3" s="153" t="s">
        <v>102</v>
      </c>
      <c r="D3" s="153" t="s">
        <v>103</v>
      </c>
      <c r="E3" s="153" t="s">
        <v>104</v>
      </c>
      <c r="F3" s="154" t="s">
        <v>105</v>
      </c>
      <c r="G3" s="150"/>
      <c r="H3" s="153" t="s">
        <v>102</v>
      </c>
      <c r="I3" s="153" t="s">
        <v>103</v>
      </c>
      <c r="J3" s="153" t="s">
        <v>104</v>
      </c>
      <c r="K3" s="172" t="s">
        <v>105</v>
      </c>
      <c r="M3" s="153" t="s">
        <v>102</v>
      </c>
      <c r="N3" s="153" t="s">
        <v>103</v>
      </c>
      <c r="O3" s="153" t="s">
        <v>104</v>
      </c>
      <c r="P3" s="172" t="s">
        <v>105</v>
      </c>
      <c r="R3" s="153" t="s">
        <v>102</v>
      </c>
      <c r="S3" s="153" t="s">
        <v>103</v>
      </c>
      <c r="T3" s="153" t="s">
        <v>104</v>
      </c>
      <c r="U3" s="172" t="s">
        <v>105</v>
      </c>
      <c r="W3" s="153" t="s">
        <v>102</v>
      </c>
      <c r="X3" s="153" t="s">
        <v>103</v>
      </c>
      <c r="Y3" s="153" t="s">
        <v>104</v>
      </c>
      <c r="Z3" s="172" t="s">
        <v>105</v>
      </c>
      <c r="AB3" s="153" t="s">
        <v>102</v>
      </c>
      <c r="AC3" s="153" t="s">
        <v>103</v>
      </c>
      <c r="AD3" s="153" t="s">
        <v>104</v>
      </c>
      <c r="AE3" s="172" t="s">
        <v>105</v>
      </c>
      <c r="AG3" s="153" t="s">
        <v>102</v>
      </c>
      <c r="AH3" s="153" t="s">
        <v>103</v>
      </c>
      <c r="AI3" s="153" t="s">
        <v>104</v>
      </c>
      <c r="AJ3" s="172" t="s">
        <v>105</v>
      </c>
    </row>
    <row r="4" spans="1:36" x14ac:dyDescent="0.2">
      <c r="A4" s="155"/>
      <c r="B4" s="19" t="str">
        <f>HLOOKUP(Language!$C$3,Language!$E$1:$Z565,2,FALSE)</f>
        <v>Model Type</v>
      </c>
      <c r="C4" s="5" t="str">
        <f>CONCATENATE(C5," ",HLOOKUP(Language!$C$3,Language!$E$1:$Z501,3,FALSE))</f>
        <v>RA331 Acquisition Module for RPV311</v>
      </c>
      <c r="D4" s="156"/>
      <c r="E4" s="156"/>
      <c r="F4" s="157"/>
      <c r="G4" s="158"/>
      <c r="H4" s="5" t="str">
        <f>CONCATENATE(H5," ",HLOOKUP(Language!$C$3,Language!$E$1:$Z501,3,FALSE))</f>
        <v>RA331 Acquisition Module for RPV311</v>
      </c>
      <c r="I4" s="156"/>
      <c r="J4" s="156"/>
      <c r="K4" s="173"/>
      <c r="M4" s="5" t="str">
        <f>CONCATENATE(M5," ",HLOOKUP(Language!$C$3,Language!$E$1:$Z501,3,FALSE))</f>
        <v>RA331 Acquisition Module for RPV311</v>
      </c>
      <c r="N4" s="156"/>
      <c r="O4" s="156"/>
      <c r="P4" s="173"/>
      <c r="R4" s="5" t="str">
        <f>CONCATENATE(R5," ",HLOOKUP(Language!$C$3,Language!$E$1:$Z501,3,FALSE))</f>
        <v>RA331 Acquisition Module for RPV311</v>
      </c>
      <c r="S4" s="156"/>
      <c r="T4" s="156"/>
      <c r="U4" s="173"/>
      <c r="W4" s="5" t="str">
        <f>CONCATENATE(W5," ",HLOOKUP(Language!$C$3,Language!$E$1:$Z501,3,FALSE))</f>
        <v>RA331 Acquisition Module for RPV311</v>
      </c>
      <c r="X4" s="156"/>
      <c r="Y4" s="156"/>
      <c r="Z4" s="173"/>
      <c r="AB4" s="5" t="str">
        <f>CONCATENATE(AB5," ",HLOOKUP(Language!$C$3,Language!$E$1:$Z501,3,FALSE))</f>
        <v>RA331 Acquisition Module for RPV311</v>
      </c>
      <c r="AC4" s="156"/>
      <c r="AD4" s="156"/>
      <c r="AE4" s="173"/>
      <c r="AG4" s="5" t="str">
        <f>CONCATENATE(AG5," ",HLOOKUP(Language!$C$3,Language!$E$1:$Z501,3,FALSE))</f>
        <v>RA331 Acquisition Module for RPV311</v>
      </c>
      <c r="AH4" s="156"/>
      <c r="AI4" s="156"/>
      <c r="AJ4" s="173"/>
    </row>
    <row r="5" spans="1:36" x14ac:dyDescent="0.2">
      <c r="A5" s="155"/>
      <c r="B5" s="159" t="s">
        <v>106</v>
      </c>
      <c r="C5" s="160" t="str">
        <f>HLOOKUP(Language!$C$3,Language!$E$1:$Z501,4,FALSE)</f>
        <v>RA331</v>
      </c>
      <c r="D5" s="160"/>
      <c r="E5" s="161"/>
      <c r="F5" s="160" t="s">
        <v>107</v>
      </c>
      <c r="G5" s="162"/>
      <c r="H5" s="160" t="str">
        <f>HLOOKUP(Language!$C$3,Language!$E$1:$Z501,4,FALSE)</f>
        <v>RA331</v>
      </c>
      <c r="I5" s="160"/>
      <c r="J5" s="161"/>
      <c r="K5" s="160" t="s">
        <v>107</v>
      </c>
      <c r="M5" s="160" t="str">
        <f>HLOOKUP(Language!$C$3,Language!$E$1:$Z501,4,FALSE)</f>
        <v>RA331</v>
      </c>
      <c r="N5" s="160"/>
      <c r="O5" s="161"/>
      <c r="P5" s="160" t="s">
        <v>107</v>
      </c>
      <c r="R5" s="160" t="str">
        <f>HLOOKUP(Language!$C$3,Language!$E$1:$Z501,4,FALSE)</f>
        <v>RA331</v>
      </c>
      <c r="S5" s="160"/>
      <c r="T5" s="161"/>
      <c r="U5" s="160" t="s">
        <v>107</v>
      </c>
      <c r="W5" s="160" t="str">
        <f>HLOOKUP(Language!$C$3,Language!$E$1:$Z501,4,FALSE)</f>
        <v>RA331</v>
      </c>
      <c r="X5" s="160"/>
      <c r="Y5" s="161"/>
      <c r="Z5" s="160" t="s">
        <v>107</v>
      </c>
      <c r="AB5" s="160" t="str">
        <f>HLOOKUP(Language!$C$3,Language!$E$1:$Z501,4,FALSE)</f>
        <v>RA331</v>
      </c>
      <c r="AC5" s="160"/>
      <c r="AD5" s="161"/>
      <c r="AE5" s="160" t="s">
        <v>107</v>
      </c>
      <c r="AG5" s="160" t="str">
        <f>HLOOKUP(Language!$C$3,Language!$E$1:$Z501,4,FALSE)</f>
        <v>RA331</v>
      </c>
      <c r="AH5" s="160"/>
      <c r="AI5" s="161"/>
      <c r="AJ5" s="160" t="s">
        <v>107</v>
      </c>
    </row>
    <row r="6" spans="1:36" x14ac:dyDescent="0.2">
      <c r="A6" s="11">
        <v>1</v>
      </c>
      <c r="B6" s="4" t="str">
        <f>HLOOKUP(Language!$C$3,Language!$E$1:$Z565,5,FALSE)</f>
        <v>Power Supply</v>
      </c>
      <c r="C6" s="7" t="str">
        <f>HLOOKUP(Language!$C$3,Language!$E$1:$Z501,6,FALSE)</f>
        <v>100-250 Vdc / 110-240 Vac</v>
      </c>
      <c r="D6" s="7">
        <v>3</v>
      </c>
      <c r="E6" s="7"/>
      <c r="F6" s="163" t="s">
        <v>107</v>
      </c>
      <c r="G6" s="8"/>
      <c r="H6" s="7" t="str">
        <f>HLOOKUP(Language!$C$3,Language!$E$1:$Z501,39,FALSE)</f>
        <v>24-48 Vdc (withdrawn)</v>
      </c>
      <c r="I6" s="7">
        <v>1</v>
      </c>
      <c r="J6" s="7"/>
      <c r="K6" s="7" t="s">
        <v>107</v>
      </c>
      <c r="M6" s="7" t="str">
        <f>HLOOKUP(Language!$C$3,Language!$E$1:$Z501,39,FALSE)</f>
        <v>24-48 Vdc (withdrawn)</v>
      </c>
      <c r="N6" s="7">
        <v>1</v>
      </c>
      <c r="O6" s="7"/>
      <c r="P6" s="7" t="s">
        <v>107</v>
      </c>
      <c r="R6" s="7" t="str">
        <f>HLOOKUP(Language!$C$3,Language!$E$1:$Z501,39,FALSE)</f>
        <v>24-48 Vdc (withdrawn)</v>
      </c>
      <c r="S6" s="7">
        <v>1</v>
      </c>
      <c r="T6" s="7"/>
      <c r="U6" s="7" t="s">
        <v>107</v>
      </c>
      <c r="W6" s="8" t="str">
        <f>HLOOKUP(Language!$C$3,Language!$E$1:$Z501,6,FALSE)</f>
        <v>100-250 Vdc / 110-240 Vac</v>
      </c>
      <c r="X6" s="8">
        <v>3</v>
      </c>
      <c r="Y6" s="7"/>
      <c r="Z6" s="7" t="s">
        <v>107</v>
      </c>
      <c r="AB6" s="8" t="str">
        <f>HLOOKUP(Language!$C$3,Language!$E$1:$Z501,6,FALSE)</f>
        <v>100-250 Vdc / 110-240 Vac</v>
      </c>
      <c r="AC6" s="8">
        <v>3</v>
      </c>
      <c r="AD6" s="7"/>
      <c r="AE6" s="7" t="s">
        <v>107</v>
      </c>
      <c r="AG6" s="8" t="str">
        <f>HLOOKUP(Language!$C$3,Language!$E$1:$Z501,39,FALSE)</f>
        <v>24-48 Vdc (withdrawn)</v>
      </c>
      <c r="AH6" s="8">
        <v>1</v>
      </c>
      <c r="AI6" s="7"/>
      <c r="AJ6" s="7" t="s">
        <v>107</v>
      </c>
    </row>
    <row r="7" spans="1:36" x14ac:dyDescent="0.2">
      <c r="A7" s="12"/>
      <c r="C7" s="8"/>
      <c r="D7" s="8"/>
      <c r="E7" s="8"/>
      <c r="F7" s="164"/>
      <c r="G7" s="8"/>
      <c r="H7" s="8" t="str">
        <f>HLOOKUP(Language!$C$3,Language!$E$1:$Z502,6,FALSE)</f>
        <v>100-250 Vdc / 110-240 Vac</v>
      </c>
      <c r="I7" s="8">
        <v>3</v>
      </c>
      <c r="J7" s="8"/>
      <c r="K7" s="8" t="s">
        <v>107</v>
      </c>
      <c r="M7" s="8" t="str">
        <f>HLOOKUP(Language!$C$3,Language!$E$1:$Z502,6,FALSE)</f>
        <v>100-250 Vdc / 110-240 Vac</v>
      </c>
      <c r="N7" s="8">
        <v>3</v>
      </c>
      <c r="O7" s="8"/>
      <c r="P7" s="8" t="s">
        <v>107</v>
      </c>
      <c r="R7" s="8" t="str">
        <f>HLOOKUP(Language!$C$3,Language!$E$1:$Z502,6,FALSE)</f>
        <v>100-250 Vdc / 110-240 Vac</v>
      </c>
      <c r="S7" s="8">
        <v>3</v>
      </c>
      <c r="T7" s="8"/>
      <c r="U7" s="8" t="s">
        <v>107</v>
      </c>
      <c r="W7" s="8" t="str">
        <f>HLOOKUP(Language!$C$3,Language!$E$1:$Z502,6,FALSE)</f>
        <v>100-250 Vdc / 110-240 Vac</v>
      </c>
      <c r="X7" s="8">
        <v>3</v>
      </c>
      <c r="Y7" s="8"/>
      <c r="Z7" s="8" t="s">
        <v>107</v>
      </c>
      <c r="AB7" s="8" t="str">
        <f>HLOOKUP(Language!$C$3,Language!$E$1:$Z502,6,FALSE)</f>
        <v>100-250 Vdc / 110-240 Vac</v>
      </c>
      <c r="AC7" s="8">
        <v>3</v>
      </c>
      <c r="AD7" s="8"/>
      <c r="AE7" s="8" t="s">
        <v>107</v>
      </c>
      <c r="AG7" s="8" t="str">
        <f>HLOOKUP(Language!$C$3,Language!$E$1:$Z502,6,FALSE)</f>
        <v>100-250 Vdc / 110-240 Vac</v>
      </c>
      <c r="AH7" s="8">
        <v>3</v>
      </c>
      <c r="AI7" s="8"/>
      <c r="AJ7" s="8" t="s">
        <v>107</v>
      </c>
    </row>
    <row r="8" spans="1:36" x14ac:dyDescent="0.2">
      <c r="A8" s="20"/>
      <c r="C8" s="169"/>
      <c r="D8" s="6"/>
      <c r="E8" s="6"/>
      <c r="G8" s="162"/>
      <c r="H8" s="169"/>
      <c r="I8" s="6"/>
      <c r="J8" s="6"/>
      <c r="K8" s="162"/>
      <c r="M8" s="169"/>
      <c r="N8" s="6"/>
      <c r="O8" s="6"/>
      <c r="P8" s="162"/>
      <c r="R8" s="169"/>
      <c r="S8" s="6"/>
      <c r="T8" s="6"/>
      <c r="U8" s="162"/>
      <c r="W8" s="169"/>
      <c r="X8" s="6"/>
      <c r="Y8" s="6"/>
      <c r="Z8" s="162"/>
      <c r="AB8" s="169"/>
      <c r="AC8" s="6"/>
      <c r="AD8" s="6"/>
      <c r="AE8" s="162"/>
      <c r="AG8" s="169"/>
      <c r="AH8" s="6"/>
      <c r="AI8" s="6"/>
      <c r="AJ8" s="162"/>
    </row>
    <row r="9" spans="1:36" x14ac:dyDescent="0.2">
      <c r="A9" s="11">
        <v>2</v>
      </c>
      <c r="B9" s="4" t="str">
        <f>HLOOKUP(Language!$C$3,Language!$E$1:$Z565,7,FALSE)</f>
        <v>Analogue Inputs 1 to 4</v>
      </c>
      <c r="C9" s="10" t="str">
        <f>HLOOKUP(Language!$C$3,Language!$E$1:$Z501,8,FALSE)</f>
        <v>1 A / 115 V</v>
      </c>
      <c r="D9" s="10">
        <v>1</v>
      </c>
      <c r="E9" s="10"/>
      <c r="F9" s="166" t="s">
        <v>107</v>
      </c>
      <c r="G9" s="162"/>
      <c r="H9" s="10" t="str">
        <f>HLOOKUP(Language!$C$3,Language!$E$1:$Z501,40,FALSE)</f>
        <v>Voltage inputs 115 V / Current inputs 1 A; full-scale 20 A (Ith = 40 A) (withdrawn)</v>
      </c>
      <c r="I9" s="10">
        <v>1</v>
      </c>
      <c r="J9" s="10"/>
      <c r="K9" s="10" t="s">
        <v>107</v>
      </c>
      <c r="M9" s="10" t="str">
        <f>HLOOKUP(Language!$C$3,Language!$E$1:$Z501,40,FALSE)</f>
        <v>Voltage inputs 115 V / Current inputs 1 A; full-scale 20 A (Ith = 40 A) (withdrawn)</v>
      </c>
      <c r="N9" s="10">
        <v>1</v>
      </c>
      <c r="O9" s="10"/>
      <c r="P9" s="10" t="s">
        <v>107</v>
      </c>
      <c r="R9" s="10" t="str">
        <f>HLOOKUP(Language!$C$3,Language!$E$1:$Z501,40,FALSE)</f>
        <v>Voltage inputs 115 V / Current inputs 1 A; full-scale 20 A (Ith = 40 A) (withdrawn)</v>
      </c>
      <c r="S9" s="10">
        <v>1</v>
      </c>
      <c r="T9" s="10"/>
      <c r="U9" s="10" t="s">
        <v>107</v>
      </c>
      <c r="W9" s="10" t="str">
        <f>HLOOKUP(Language!$C$3,Language!$E$1:$Z501,40,FALSE)</f>
        <v>Voltage inputs 115 V / Current inputs 1 A; full-scale 20 A (Ith = 40 A) (withdrawn)</v>
      </c>
      <c r="X9" s="10">
        <v>1</v>
      </c>
      <c r="Y9" s="10"/>
      <c r="Z9" s="10" t="s">
        <v>107</v>
      </c>
      <c r="AB9" s="10" t="str">
        <f>HLOOKUP(Language!$C$3,Language!$E$1:$Z501,40,FALSE)</f>
        <v>Voltage inputs 115 V / Current inputs 1 A; full-scale 20 A (Ith = 40 A) (withdrawn)</v>
      </c>
      <c r="AC9" s="10">
        <v>1</v>
      </c>
      <c r="AD9" s="10"/>
      <c r="AE9" s="10" t="s">
        <v>107</v>
      </c>
      <c r="AG9" s="10" t="str">
        <f>HLOOKUP(Language!$C$3,Language!$E$1:$Z501,40,FALSE)</f>
        <v>Voltage inputs 115 V / Current inputs 1 A; full-scale 20 A (Ith = 40 A) (withdrawn)</v>
      </c>
      <c r="AH9" s="10">
        <v>1</v>
      </c>
      <c r="AI9" s="10"/>
      <c r="AJ9" s="10" t="s">
        <v>107</v>
      </c>
    </row>
    <row r="10" spans="1:36" x14ac:dyDescent="0.2">
      <c r="A10" s="12"/>
      <c r="B10" s="24"/>
      <c r="C10" s="162"/>
      <c r="D10" s="6"/>
      <c r="E10" s="6"/>
      <c r="G10" s="162"/>
      <c r="H10" s="162"/>
      <c r="I10" s="6"/>
      <c r="J10" s="6"/>
      <c r="K10" s="162"/>
      <c r="M10" s="162"/>
      <c r="N10" s="6"/>
      <c r="O10" s="6"/>
      <c r="P10" s="162"/>
      <c r="R10" s="162" t="str">
        <f>HLOOKUP(Language!$C$3,Language!$E$1:$Z496,53,FALSE)</f>
        <v>Voltage inputs 115 V / Current inputs 1 A; full-scale 40 A (Ith = 100 A)</v>
      </c>
      <c r="S10" s="9">
        <v>2</v>
      </c>
      <c r="U10" s="10" t="s">
        <v>107</v>
      </c>
      <c r="W10" s="162" t="str">
        <f>HLOOKUP(Language!$C$3,Language!$E$1:$Z497,53,FALSE)</f>
        <v>Voltage inputs 115 V / Current inputs 1 A; full-scale 40 A (Ith = 100 A)</v>
      </c>
      <c r="X10" s="9">
        <v>2</v>
      </c>
      <c r="Z10" s="10" t="s">
        <v>107</v>
      </c>
      <c r="AB10" s="162" t="str">
        <f>HLOOKUP(Language!$C$3,Language!$E$1:$Z497,53,FALSE)</f>
        <v>Voltage inputs 115 V / Current inputs 1 A; full-scale 40 A (Ith = 100 A)</v>
      </c>
      <c r="AC10" s="9">
        <v>2</v>
      </c>
      <c r="AE10" s="10" t="s">
        <v>107</v>
      </c>
      <c r="AG10" s="162" t="str">
        <f>HLOOKUP(Language!$C$3,Language!$E$1:$Z497,53,FALSE)</f>
        <v>Voltage inputs 115 V / Current inputs 1 A; full-scale 40 A (Ith = 100 A)</v>
      </c>
      <c r="AH10" s="9">
        <v>2</v>
      </c>
      <c r="AJ10" s="10" t="s">
        <v>107</v>
      </c>
    </row>
    <row r="11" spans="1:36" x14ac:dyDescent="0.2">
      <c r="A11" s="12"/>
      <c r="B11" s="24"/>
      <c r="C11" s="162" t="str">
        <f>HLOOKUP(Language!$C$3,Language!$E$1:$Z497,10,FALSE)</f>
        <v>5 A / 115 V</v>
      </c>
      <c r="D11" s="6">
        <v>5</v>
      </c>
      <c r="E11" s="6"/>
      <c r="F11" s="165" t="s">
        <v>107</v>
      </c>
      <c r="G11" s="162"/>
      <c r="H11" s="162" t="str">
        <f>HLOOKUP(Language!$C$3,Language!$E$1:$Z497,41,FALSE)</f>
        <v>Voltage inputs 115 V / Current inputs 5 A; full-scale 100 A (Ith = 200 A) (withdrawn)</v>
      </c>
      <c r="I11" s="6">
        <v>5</v>
      </c>
      <c r="J11" s="6"/>
      <c r="K11" s="162" t="s">
        <v>107</v>
      </c>
      <c r="M11" s="162" t="str">
        <f>HLOOKUP(Language!$C$3,Language!$E$1:$Z497,41,FALSE)</f>
        <v>Voltage inputs 115 V / Current inputs 5 A; full-scale 100 A (Ith = 200 A) (withdrawn)</v>
      </c>
      <c r="N11" s="6">
        <v>5</v>
      </c>
      <c r="O11" s="6"/>
      <c r="P11" s="162" t="s">
        <v>107</v>
      </c>
      <c r="R11" s="162" t="str">
        <f>HLOOKUP(Language!$C$3,Language!$E$1:$Z497,41,FALSE)</f>
        <v>Voltage inputs 115 V / Current inputs 5 A; full-scale 100 A (Ith = 200 A) (withdrawn)</v>
      </c>
      <c r="S11" s="6">
        <v>5</v>
      </c>
      <c r="T11" s="6"/>
      <c r="U11" s="10" t="s">
        <v>107</v>
      </c>
      <c r="W11" s="162" t="str">
        <f>HLOOKUP(Language!$C$3,Language!$E$1:$Z498,41,FALSE)</f>
        <v>Voltage inputs 115 V / Current inputs 5 A; full-scale 100 A (Ith = 200 A) (withdrawn)</v>
      </c>
      <c r="X11" s="6">
        <v>5</v>
      </c>
      <c r="Y11" s="6"/>
      <c r="Z11" s="10" t="s">
        <v>107</v>
      </c>
      <c r="AB11" s="162" t="str">
        <f>HLOOKUP(Language!$C$3,Language!$E$1:$Z498,41,FALSE)</f>
        <v>Voltage inputs 115 V / Current inputs 5 A; full-scale 100 A (Ith = 200 A) (withdrawn)</v>
      </c>
      <c r="AC11" s="6">
        <v>5</v>
      </c>
      <c r="AD11" s="6"/>
      <c r="AE11" s="10" t="s">
        <v>107</v>
      </c>
      <c r="AG11" s="162" t="str">
        <f>HLOOKUP(Language!$C$3,Language!$E$1:$Z498,41,FALSE)</f>
        <v>Voltage inputs 115 V / Current inputs 5 A; full-scale 100 A (Ith = 200 A) (withdrawn)</v>
      </c>
      <c r="AH11" s="6">
        <v>5</v>
      </c>
      <c r="AI11" s="6"/>
      <c r="AJ11" s="10" t="s">
        <v>107</v>
      </c>
    </row>
    <row r="12" spans="1:36" x14ac:dyDescent="0.2">
      <c r="A12" s="12"/>
      <c r="B12" s="24"/>
      <c r="C12" s="162"/>
      <c r="D12" s="6"/>
      <c r="E12" s="6"/>
      <c r="G12" s="162"/>
      <c r="H12" s="162"/>
      <c r="I12" s="6"/>
      <c r="J12" s="6"/>
      <c r="K12" s="162"/>
      <c r="M12" s="162"/>
      <c r="N12" s="6"/>
      <c r="O12" s="6"/>
      <c r="P12" s="162"/>
      <c r="R12" s="162" t="str">
        <f>HLOOKUP(Language!$C$3,Language!$E$1:$Z498,54,FALSE)</f>
        <v>Voltage inputs 115 V / Current inputs 5 A; full-scale 200 A (Ith = 200 A)</v>
      </c>
      <c r="S12" s="9">
        <v>6</v>
      </c>
      <c r="U12" s="10" t="s">
        <v>107</v>
      </c>
      <c r="W12" s="162" t="str">
        <f>HLOOKUP(Language!$C$3,Language!$E$1:$Z499,54,FALSE)</f>
        <v>Voltage inputs 115 V / Current inputs 5 A; full-scale 200 A (Ith = 200 A)</v>
      </c>
      <c r="X12" s="9">
        <v>6</v>
      </c>
      <c r="Z12" s="10" t="s">
        <v>107</v>
      </c>
      <c r="AB12" s="162" t="str">
        <f>HLOOKUP(Language!$C$3,Language!$E$1:$Z499,54,FALSE)</f>
        <v>Voltage inputs 115 V / Current inputs 5 A; full-scale 200 A (Ith = 200 A)</v>
      </c>
      <c r="AC12" s="9">
        <v>6</v>
      </c>
      <c r="AE12" s="10" t="s">
        <v>107</v>
      </c>
      <c r="AG12" s="162" t="str">
        <f>HLOOKUP(Language!$C$3,Language!$E$1:$Z499,54,FALSE)</f>
        <v>Voltage inputs 115 V / Current inputs 5 A; full-scale 200 A (Ith = 200 A)</v>
      </c>
      <c r="AH12" s="9">
        <v>6</v>
      </c>
      <c r="AJ12" s="10" t="s">
        <v>107</v>
      </c>
    </row>
    <row r="13" spans="1:36" x14ac:dyDescent="0.2">
      <c r="A13" s="12"/>
      <c r="B13" s="24"/>
      <c r="C13" s="162" t="str">
        <f>HLOOKUP(Language!$C$3,Language!$E$1:$Z497,11,FALSE)</f>
        <v>5 A (PMU) / 115 V</v>
      </c>
      <c r="D13" s="6" t="s">
        <v>22</v>
      </c>
      <c r="E13" s="6"/>
      <c r="F13" s="165" t="s">
        <v>107</v>
      </c>
      <c r="G13" s="162"/>
      <c r="H13" s="162" t="str">
        <f>HLOOKUP(Language!$C$3,Language!$E$1:$Z497,42,FALSE)</f>
        <v>Voltage inputs 115 V / Current inputs 5 A; full-scale 14 A (Ith = 32 A) (withdrawn)</v>
      </c>
      <c r="I13" s="6" t="s">
        <v>22</v>
      </c>
      <c r="J13" s="6"/>
      <c r="K13" s="162" t="s">
        <v>107</v>
      </c>
      <c r="M13" s="162" t="str">
        <f>HLOOKUP(Language!$C$3,Language!$E$1:$Z497,42,FALSE)</f>
        <v>Voltage inputs 115 V / Current inputs 5 A; full-scale 14 A (Ith = 32 A) (withdrawn)</v>
      </c>
      <c r="N13" s="6" t="s">
        <v>22</v>
      </c>
      <c r="O13" s="6"/>
      <c r="P13" s="162" t="s">
        <v>107</v>
      </c>
      <c r="R13" s="162" t="str">
        <f>HLOOKUP(Language!$C$3,Language!$E$1:$Z497,42,FALSE)</f>
        <v>Voltage inputs 115 V / Current inputs 5 A; full-scale 14 A (Ith = 32 A) (withdrawn)</v>
      </c>
      <c r="S13" s="6" t="s">
        <v>22</v>
      </c>
      <c r="T13" s="6"/>
      <c r="U13" s="162" t="s">
        <v>107</v>
      </c>
      <c r="W13" s="162" t="str">
        <f>HLOOKUP(Language!$C$3,Language!$E$1:$Z497,42,FALSE)</f>
        <v>Voltage inputs 115 V / Current inputs 5 A; full-scale 14 A (Ith = 32 A) (withdrawn)</v>
      </c>
      <c r="X13" s="6" t="s">
        <v>22</v>
      </c>
      <c r="Y13" s="6"/>
      <c r="Z13" s="162" t="s">
        <v>107</v>
      </c>
      <c r="AB13" s="162" t="str">
        <f>HLOOKUP(Language!$C$3,Language!$E$1:$Z497,42,FALSE)</f>
        <v>Voltage inputs 115 V / Current inputs 5 A; full-scale 14 A (Ith = 32 A) (withdrawn)</v>
      </c>
      <c r="AC13" s="6" t="s">
        <v>22</v>
      </c>
      <c r="AD13" s="6"/>
      <c r="AE13" s="162" t="s">
        <v>107</v>
      </c>
      <c r="AG13" s="162" t="str">
        <f>HLOOKUP(Language!$C$3,Language!$E$1:$Z497,42,FALSE)</f>
        <v>Voltage inputs 115 V / Current inputs 5 A; full-scale 14 A (Ith = 32 A) (withdrawn)</v>
      </c>
      <c r="AH13" s="6" t="s">
        <v>22</v>
      </c>
      <c r="AI13" s="6"/>
      <c r="AJ13" s="162" t="s">
        <v>107</v>
      </c>
    </row>
    <row r="14" spans="1:36" x14ac:dyDescent="0.2">
      <c r="A14" s="12"/>
      <c r="B14" s="24"/>
      <c r="C14" s="162" t="str">
        <f>HLOOKUP(Language!$C$3,Language!$E$1:$Z497,12,FALSE)</f>
        <v>0-20 mA / ± 10 V</v>
      </c>
      <c r="D14" s="6" t="s">
        <v>23</v>
      </c>
      <c r="E14" s="6"/>
      <c r="F14" s="165" t="s">
        <v>107</v>
      </c>
      <c r="G14" s="162"/>
      <c r="H14" s="162" t="str">
        <f>HLOOKUP(Language!$C$3,Language!$E$1:$Z497,43,FALSE)</f>
        <v>Voltage inputs ±10 Vdc / Current inputs 0-20 mAdc</v>
      </c>
      <c r="I14" s="6" t="s">
        <v>23</v>
      </c>
      <c r="J14" s="6"/>
      <c r="K14" s="162" t="s">
        <v>107</v>
      </c>
      <c r="M14" s="162" t="str">
        <f>HLOOKUP(Language!$C$3,Language!$E$1:$Z497,43,FALSE)</f>
        <v>Voltage inputs ±10 Vdc / Current inputs 0-20 mAdc</v>
      </c>
      <c r="N14" s="6" t="s">
        <v>23</v>
      </c>
      <c r="O14" s="6"/>
      <c r="P14" s="162" t="s">
        <v>107</v>
      </c>
      <c r="R14" s="162" t="str">
        <f>HLOOKUP(Language!$C$3,Language!$E$1:$Z497,43,FALSE)</f>
        <v>Voltage inputs ±10 Vdc / Current inputs 0-20 mAdc</v>
      </c>
      <c r="S14" s="6" t="s">
        <v>23</v>
      </c>
      <c r="T14" s="6"/>
      <c r="U14" s="162" t="s">
        <v>107</v>
      </c>
      <c r="W14" s="162" t="str">
        <f>HLOOKUP(Language!$C$3,Language!$E$1:$Z498,43,FALSE)</f>
        <v>Voltage inputs ±10 Vdc / Current inputs 0-20 mAdc</v>
      </c>
      <c r="X14" s="6" t="s">
        <v>23</v>
      </c>
      <c r="Y14" s="6"/>
      <c r="Z14" s="162" t="s">
        <v>107</v>
      </c>
      <c r="AB14" s="162" t="str">
        <f>HLOOKUP(Language!$C$3,Language!$E$1:$Z498,43,FALSE)</f>
        <v>Voltage inputs ±10 Vdc / Current inputs 0-20 mAdc</v>
      </c>
      <c r="AC14" s="6" t="s">
        <v>23</v>
      </c>
      <c r="AD14" s="6"/>
      <c r="AE14" s="162" t="s">
        <v>107</v>
      </c>
      <c r="AG14" s="162" t="str">
        <f>HLOOKUP(Language!$C$3,Language!$E$1:$Z498,43,FALSE)</f>
        <v>Voltage inputs ±10 Vdc / Current inputs 0-20 mAdc</v>
      </c>
      <c r="AH14" s="6" t="s">
        <v>23</v>
      </c>
      <c r="AI14" s="6"/>
      <c r="AJ14" s="162" t="s">
        <v>107</v>
      </c>
    </row>
    <row r="15" spans="1:36" x14ac:dyDescent="0.2">
      <c r="A15" s="12"/>
      <c r="B15" s="24"/>
      <c r="C15" s="162" t="str">
        <f>HLOOKUP(Language!$C$3,Language!$E$1:$Z498,13,FALSE)</f>
        <v>100 mA / 115 V</v>
      </c>
      <c r="D15" s="6" t="s">
        <v>24</v>
      </c>
      <c r="E15" s="6"/>
      <c r="F15" s="165" t="s">
        <v>107</v>
      </c>
      <c r="G15" s="162"/>
      <c r="H15" s="162" t="str">
        <f>HLOOKUP(Language!$C$3,Language!$E$1:$Z498,44,FALSE)</f>
        <v>Voltage inputs 115 V / Current inputs 100 mA; full-scale 100 mA (Ith = 2 A)</v>
      </c>
      <c r="I15" s="6" t="s">
        <v>24</v>
      </c>
      <c r="J15" s="6"/>
      <c r="K15" s="162" t="s">
        <v>107</v>
      </c>
      <c r="M15" s="162" t="str">
        <f>HLOOKUP(Language!$C$3,Language!$E$1:$Z498,44,FALSE)</f>
        <v>Voltage inputs 115 V / Current inputs 100 mA; full-scale 100 mA (Ith = 2 A)</v>
      </c>
      <c r="N15" s="6" t="s">
        <v>24</v>
      </c>
      <c r="O15" s="6"/>
      <c r="P15" s="162" t="s">
        <v>107</v>
      </c>
      <c r="R15" s="162" t="str">
        <f>HLOOKUP(Language!$C$3,Language!$E$1:$Z498,44,FALSE)</f>
        <v>Voltage inputs 115 V / Current inputs 100 mA; full-scale 100 mA (Ith = 2 A)</v>
      </c>
      <c r="S15" s="6" t="s">
        <v>24</v>
      </c>
      <c r="T15" s="6"/>
      <c r="U15" s="162" t="s">
        <v>107</v>
      </c>
      <c r="W15" s="162" t="str">
        <f>HLOOKUP(Language!$C$3,Language!$E$1:$Z499,44,FALSE)</f>
        <v>Voltage inputs 115 V / Current inputs 100 mA; full-scale 100 mA (Ith = 2 A)</v>
      </c>
      <c r="X15" s="6" t="s">
        <v>24</v>
      </c>
      <c r="Y15" s="6"/>
      <c r="Z15" s="162" t="s">
        <v>107</v>
      </c>
      <c r="AB15" s="162" t="str">
        <f>HLOOKUP(Language!$C$3,Language!$E$1:$Z499,44,FALSE)</f>
        <v>Voltage inputs 115 V / Current inputs 100 mA; full-scale 100 mA (Ith = 2 A)</v>
      </c>
      <c r="AC15" s="6" t="s">
        <v>24</v>
      </c>
      <c r="AD15" s="6"/>
      <c r="AE15" s="162" t="s">
        <v>107</v>
      </c>
      <c r="AG15" s="162" t="str">
        <f>HLOOKUP(Language!$C$3,Language!$E$1:$Z499,44,FALSE)</f>
        <v>Voltage inputs 115 V / Current inputs 100 mA; full-scale 100 mA (Ith = 2 A)</v>
      </c>
      <c r="AH15" s="6" t="s">
        <v>24</v>
      </c>
      <c r="AI15" s="6"/>
      <c r="AJ15" s="162" t="s">
        <v>107</v>
      </c>
    </row>
    <row r="16" spans="1:36" x14ac:dyDescent="0.2">
      <c r="A16" s="12"/>
      <c r="B16" s="24"/>
      <c r="C16" s="162" t="str">
        <f>HLOOKUP(Language!$C$3,Language!$E$1:$Z499,14,FALSE)</f>
        <v>Not installed</v>
      </c>
      <c r="D16" s="6" t="s">
        <v>11</v>
      </c>
      <c r="E16" s="6"/>
      <c r="F16" s="165" t="s">
        <v>107</v>
      </c>
      <c r="G16" s="162"/>
      <c r="H16" s="162" t="str">
        <f>HLOOKUP(Language!$C$3,Language!$E$1:$Z499,14,FALSE)</f>
        <v>Not installed</v>
      </c>
      <c r="I16" s="6" t="s">
        <v>11</v>
      </c>
      <c r="J16" s="6"/>
      <c r="K16" s="162" t="s">
        <v>107</v>
      </c>
      <c r="M16" s="162" t="str">
        <f>HLOOKUP(Language!$C$3,Language!$E$1:$Z499,14,FALSE)</f>
        <v>Not installed</v>
      </c>
      <c r="N16" s="6" t="s">
        <v>11</v>
      </c>
      <c r="O16" s="6"/>
      <c r="P16" s="162" t="s">
        <v>107</v>
      </c>
      <c r="R16" s="162" t="str">
        <f>HLOOKUP(Language!$C$3,Language!$E$1:$Z499,14,FALSE)</f>
        <v>Not installed</v>
      </c>
      <c r="S16" s="6" t="s">
        <v>11</v>
      </c>
      <c r="T16" s="6"/>
      <c r="U16" s="162" t="s">
        <v>107</v>
      </c>
      <c r="W16" s="162" t="str">
        <f>HLOOKUP(Language!$C$3,Language!$E$1:$Z500,14,FALSE)</f>
        <v>Not installed</v>
      </c>
      <c r="X16" s="6" t="s">
        <v>11</v>
      </c>
      <c r="Y16" s="6"/>
      <c r="Z16" s="162" t="s">
        <v>107</v>
      </c>
      <c r="AB16" s="162" t="str">
        <f>HLOOKUP(Language!$C$3,Language!$E$1:$Z500,14,FALSE)</f>
        <v>Not installed</v>
      </c>
      <c r="AC16" s="6" t="s">
        <v>11</v>
      </c>
      <c r="AD16" s="6"/>
      <c r="AE16" s="162" t="s">
        <v>107</v>
      </c>
      <c r="AG16" s="162" t="str">
        <f>HLOOKUP(Language!$C$3,Language!$E$1:$Z500,14,FALSE)</f>
        <v>Not installed</v>
      </c>
      <c r="AH16" s="6" t="s">
        <v>11</v>
      </c>
      <c r="AI16" s="6"/>
      <c r="AJ16" s="162" t="s">
        <v>107</v>
      </c>
    </row>
    <row r="17" spans="1:36" x14ac:dyDescent="0.2">
      <c r="A17" s="20"/>
      <c r="C17" s="169"/>
      <c r="D17" s="6"/>
      <c r="E17" s="6"/>
      <c r="G17" s="162"/>
      <c r="H17" s="169"/>
      <c r="I17" s="6"/>
      <c r="J17" s="6"/>
      <c r="K17" s="162"/>
      <c r="M17" s="169"/>
      <c r="N17" s="6"/>
      <c r="O17" s="6"/>
      <c r="P17" s="162"/>
      <c r="R17" s="169"/>
      <c r="S17" s="6"/>
      <c r="T17" s="6"/>
      <c r="U17" s="162"/>
      <c r="W17" s="169"/>
      <c r="X17" s="6"/>
      <c r="Y17" s="6"/>
      <c r="Z17" s="162"/>
      <c r="AB17" s="169"/>
      <c r="AC17" s="6"/>
      <c r="AD17" s="6"/>
      <c r="AE17" s="162"/>
      <c r="AG17" s="169"/>
      <c r="AH17" s="6"/>
      <c r="AI17" s="6"/>
      <c r="AJ17" s="162"/>
    </row>
    <row r="18" spans="1:36" x14ac:dyDescent="0.2">
      <c r="A18" s="11">
        <v>3</v>
      </c>
      <c r="B18" s="4" t="str">
        <f>HLOOKUP(Language!$C$3,Language!$E$1:$Z565,15,FALSE)</f>
        <v>Analogue Inputs 5 to 8</v>
      </c>
      <c r="C18" s="10" t="str">
        <f>HLOOKUP(Language!$C$3,Language!$E$1:$Z508,8,FALSE)</f>
        <v>1 A / 115 V</v>
      </c>
      <c r="D18" s="10">
        <v>1</v>
      </c>
      <c r="E18" s="10"/>
      <c r="F18" s="166" t="s">
        <v>107</v>
      </c>
      <c r="G18" s="162"/>
      <c r="H18" s="10" t="str">
        <f>HLOOKUP(Language!$C$3,Language!$E$1:$Z508,40,FALSE)</f>
        <v>Voltage inputs 115 V / Current inputs 1 A; full-scale 20 A (Ith = 40 A) (withdrawn)</v>
      </c>
      <c r="I18" s="10">
        <v>1</v>
      </c>
      <c r="J18" s="10"/>
      <c r="K18" s="10" t="s">
        <v>107</v>
      </c>
      <c r="M18" s="10" t="str">
        <f>HLOOKUP(Language!$C$3,Language!$E$1:$Z508,40,FALSE)</f>
        <v>Voltage inputs 115 V / Current inputs 1 A; full-scale 20 A (Ith = 40 A) (withdrawn)</v>
      </c>
      <c r="N18" s="10">
        <v>1</v>
      </c>
      <c r="O18" s="10"/>
      <c r="P18" s="10" t="s">
        <v>107</v>
      </c>
      <c r="R18" s="10" t="str">
        <f>HLOOKUP(Language!$C$3,Language!$E$1:$Z508,40,FALSE)</f>
        <v>Voltage inputs 115 V / Current inputs 1 A; full-scale 20 A (Ith = 40 A) (withdrawn)</v>
      </c>
      <c r="S18" s="10">
        <v>1</v>
      </c>
      <c r="T18" s="10"/>
      <c r="U18" s="10" t="s">
        <v>107</v>
      </c>
      <c r="W18" s="10" t="str">
        <f>HLOOKUP(Language!$C$3,Language!$E$1:$Z510,40,FALSE)</f>
        <v>Voltage inputs 115 V / Current inputs 1 A; full-scale 20 A (Ith = 40 A) (withdrawn)</v>
      </c>
      <c r="X18" s="10">
        <v>1</v>
      </c>
      <c r="Y18" s="10"/>
      <c r="Z18" s="10" t="s">
        <v>107</v>
      </c>
      <c r="AB18" s="10" t="str">
        <f>HLOOKUP(Language!$C$3,Language!$E$1:$Z510,40,FALSE)</f>
        <v>Voltage inputs 115 V / Current inputs 1 A; full-scale 20 A (Ith = 40 A) (withdrawn)</v>
      </c>
      <c r="AC18" s="10">
        <v>1</v>
      </c>
      <c r="AD18" s="10"/>
      <c r="AE18" s="10" t="s">
        <v>107</v>
      </c>
      <c r="AG18" s="10" t="str">
        <f>HLOOKUP(Language!$C$3,Language!$E$1:$Z510,40,FALSE)</f>
        <v>Voltage inputs 115 V / Current inputs 1 A; full-scale 20 A (Ith = 40 A) (withdrawn)</v>
      </c>
      <c r="AH18" s="10">
        <v>1</v>
      </c>
      <c r="AI18" s="10"/>
      <c r="AJ18" s="10" t="s">
        <v>107</v>
      </c>
    </row>
    <row r="19" spans="1:36" x14ac:dyDescent="0.2">
      <c r="A19" s="12"/>
      <c r="B19" s="24"/>
      <c r="C19" s="162"/>
      <c r="D19" s="6"/>
      <c r="E19" s="6"/>
      <c r="G19" s="162"/>
      <c r="H19" s="162"/>
      <c r="I19" s="6"/>
      <c r="J19" s="6"/>
      <c r="K19" s="162"/>
      <c r="M19" s="162"/>
      <c r="N19" s="6"/>
      <c r="O19" s="6"/>
      <c r="P19" s="162"/>
      <c r="R19" s="162" t="str">
        <f>HLOOKUP(Language!$C$3,Language!$E$1:$Z505,53,FALSE)</f>
        <v>Voltage inputs 115 V / Current inputs 1 A; full-scale 40 A (Ith = 100 A)</v>
      </c>
      <c r="S19" s="9">
        <v>2</v>
      </c>
      <c r="U19" s="10" t="s">
        <v>107</v>
      </c>
      <c r="W19" s="162" t="str">
        <f>HLOOKUP(Language!$C$3,Language!$E$1:$Z506,53,FALSE)</f>
        <v>Voltage inputs 115 V / Current inputs 1 A; full-scale 40 A (Ith = 100 A)</v>
      </c>
      <c r="X19" s="9">
        <v>2</v>
      </c>
      <c r="Z19" s="10" t="s">
        <v>107</v>
      </c>
      <c r="AB19" s="162" t="str">
        <f>HLOOKUP(Language!$C$3,Language!$E$1:$Z506,53,FALSE)</f>
        <v>Voltage inputs 115 V / Current inputs 1 A; full-scale 40 A (Ith = 100 A)</v>
      </c>
      <c r="AC19" s="9">
        <v>2</v>
      </c>
      <c r="AE19" s="10" t="s">
        <v>107</v>
      </c>
      <c r="AG19" s="162" t="str">
        <f>HLOOKUP(Language!$C$3,Language!$E$1:$Z506,53,FALSE)</f>
        <v>Voltage inputs 115 V / Current inputs 1 A; full-scale 40 A (Ith = 100 A)</v>
      </c>
      <c r="AH19" s="9">
        <v>2</v>
      </c>
      <c r="AJ19" s="10" t="s">
        <v>107</v>
      </c>
    </row>
    <row r="20" spans="1:36" x14ac:dyDescent="0.2">
      <c r="A20" s="12"/>
      <c r="B20" s="24"/>
      <c r="C20" s="162" t="str">
        <f>HLOOKUP(Language!$C$3,Language!$E$1:$Z504,10,FALSE)</f>
        <v>5 A / 115 V</v>
      </c>
      <c r="D20" s="6">
        <v>5</v>
      </c>
      <c r="E20" s="6"/>
      <c r="F20" s="165" t="s">
        <v>107</v>
      </c>
      <c r="G20" s="162"/>
      <c r="H20" s="162" t="str">
        <f>HLOOKUP(Language!$C$3,Language!$E$1:$Z504,41,FALSE)</f>
        <v>Voltage inputs 115 V / Current inputs 5 A; full-scale 100 A (Ith = 200 A) (withdrawn)</v>
      </c>
      <c r="I20" s="6">
        <v>5</v>
      </c>
      <c r="J20" s="6"/>
      <c r="K20" s="162" t="s">
        <v>107</v>
      </c>
      <c r="M20" s="162" t="str">
        <f>HLOOKUP(Language!$C$3,Language!$E$1:$Z504,41,FALSE)</f>
        <v>Voltage inputs 115 V / Current inputs 5 A; full-scale 100 A (Ith = 200 A) (withdrawn)</v>
      </c>
      <c r="N20" s="6">
        <v>5</v>
      </c>
      <c r="O20" s="6"/>
      <c r="P20" s="162" t="s">
        <v>107</v>
      </c>
      <c r="R20" s="162" t="str">
        <f>HLOOKUP(Language!$C$3,Language!$E$1:$Z504,41,FALSE)</f>
        <v>Voltage inputs 115 V / Current inputs 5 A; full-scale 100 A (Ith = 200 A) (withdrawn)</v>
      </c>
      <c r="S20" s="6">
        <v>5</v>
      </c>
      <c r="T20" s="6"/>
      <c r="U20" s="162" t="s">
        <v>107</v>
      </c>
      <c r="W20" s="162" t="str">
        <f>HLOOKUP(Language!$C$3,Language!$E$1:$Z507,41,FALSE)</f>
        <v>Voltage inputs 115 V / Current inputs 5 A; full-scale 100 A (Ith = 200 A) (withdrawn)</v>
      </c>
      <c r="X20" s="6">
        <v>5</v>
      </c>
      <c r="Y20" s="6"/>
      <c r="Z20" s="162" t="s">
        <v>107</v>
      </c>
      <c r="AB20" s="162" t="str">
        <f>HLOOKUP(Language!$C$3,Language!$E$1:$Z507,41,FALSE)</f>
        <v>Voltage inputs 115 V / Current inputs 5 A; full-scale 100 A (Ith = 200 A) (withdrawn)</v>
      </c>
      <c r="AC20" s="6">
        <v>5</v>
      </c>
      <c r="AD20" s="6"/>
      <c r="AE20" s="162" t="s">
        <v>107</v>
      </c>
      <c r="AG20" s="162" t="str">
        <f>HLOOKUP(Language!$C$3,Language!$E$1:$Z507,41,FALSE)</f>
        <v>Voltage inputs 115 V / Current inputs 5 A; full-scale 100 A (Ith = 200 A) (withdrawn)</v>
      </c>
      <c r="AH20" s="6">
        <v>5</v>
      </c>
      <c r="AI20" s="6"/>
      <c r="AJ20" s="162" t="s">
        <v>107</v>
      </c>
    </row>
    <row r="21" spans="1:36" x14ac:dyDescent="0.2">
      <c r="A21" s="12"/>
      <c r="B21" s="24"/>
      <c r="C21" s="162"/>
      <c r="D21" s="6"/>
      <c r="E21" s="6"/>
      <c r="G21" s="162"/>
      <c r="H21" s="162"/>
      <c r="I21" s="6"/>
      <c r="J21" s="6"/>
      <c r="K21" s="162"/>
      <c r="M21" s="162"/>
      <c r="N21" s="6"/>
      <c r="O21" s="6"/>
      <c r="P21" s="162"/>
      <c r="R21" s="162" t="str">
        <f>HLOOKUP(Language!$C$3,Language!$E$1:$Z507,54,FALSE)</f>
        <v>Voltage inputs 115 V / Current inputs 5 A; full-scale 200 A (Ith = 200 A)</v>
      </c>
      <c r="S21" s="9">
        <v>6</v>
      </c>
      <c r="U21" s="10" t="s">
        <v>107</v>
      </c>
      <c r="W21" s="162" t="str">
        <f>HLOOKUP(Language!$C$3,Language!$E$1:$Z508,54,FALSE)</f>
        <v>Voltage inputs 115 V / Current inputs 5 A; full-scale 200 A (Ith = 200 A)</v>
      </c>
      <c r="X21" s="9">
        <v>6</v>
      </c>
      <c r="Z21" s="10" t="s">
        <v>107</v>
      </c>
      <c r="AB21" s="162" t="str">
        <f>HLOOKUP(Language!$C$3,Language!$E$1:$Z508,54,FALSE)</f>
        <v>Voltage inputs 115 V / Current inputs 5 A; full-scale 200 A (Ith = 200 A)</v>
      </c>
      <c r="AC21" s="9">
        <v>6</v>
      </c>
      <c r="AE21" s="10" t="s">
        <v>107</v>
      </c>
      <c r="AG21" s="162" t="str">
        <f>HLOOKUP(Language!$C$3,Language!$E$1:$Z508,54,FALSE)</f>
        <v>Voltage inputs 115 V / Current inputs 5 A; full-scale 200 A (Ith = 200 A)</v>
      </c>
      <c r="AH21" s="9">
        <v>6</v>
      </c>
      <c r="AJ21" s="10" t="s">
        <v>107</v>
      </c>
    </row>
    <row r="22" spans="1:36" x14ac:dyDescent="0.2">
      <c r="A22" s="12"/>
      <c r="B22" s="24"/>
      <c r="C22" s="162" t="str">
        <f>HLOOKUP(Language!$C$3,Language!$E$1:$Z504,11,FALSE)</f>
        <v>5 A (PMU) / 115 V</v>
      </c>
      <c r="D22" s="6" t="s">
        <v>22</v>
      </c>
      <c r="E22" s="6"/>
      <c r="F22" s="165" t="s">
        <v>107</v>
      </c>
      <c r="G22" s="162"/>
      <c r="H22" s="162" t="str">
        <f>HLOOKUP(Language!$C$3,Language!$E$1:$Z504,42,FALSE)</f>
        <v>Voltage inputs 115 V / Current inputs 5 A; full-scale 14 A (Ith = 32 A) (withdrawn)</v>
      </c>
      <c r="I22" s="6" t="s">
        <v>22</v>
      </c>
      <c r="J22" s="6"/>
      <c r="K22" s="162" t="s">
        <v>107</v>
      </c>
      <c r="M22" s="162" t="str">
        <f>HLOOKUP(Language!$C$3,Language!$E$1:$Z504,42,FALSE)</f>
        <v>Voltage inputs 115 V / Current inputs 5 A; full-scale 14 A (Ith = 32 A) (withdrawn)</v>
      </c>
      <c r="N22" s="6" t="s">
        <v>22</v>
      </c>
      <c r="O22" s="6"/>
      <c r="P22" s="162" t="s">
        <v>107</v>
      </c>
      <c r="R22" s="162" t="str">
        <f>HLOOKUP(Language!$C$3,Language!$E$1:$Z504,42,FALSE)</f>
        <v>Voltage inputs 115 V / Current inputs 5 A; full-scale 14 A (Ith = 32 A) (withdrawn)</v>
      </c>
      <c r="S22" s="6" t="s">
        <v>22</v>
      </c>
      <c r="T22" s="6"/>
      <c r="U22" s="162" t="s">
        <v>107</v>
      </c>
      <c r="W22" s="162" t="str">
        <f>HLOOKUP(Language!$C$3,Language!$E$1:$Z506,42,FALSE)</f>
        <v>Voltage inputs 115 V / Current inputs 5 A; full-scale 14 A (Ith = 32 A) (withdrawn)</v>
      </c>
      <c r="X22" s="6" t="s">
        <v>22</v>
      </c>
      <c r="Y22" s="6"/>
      <c r="Z22" s="162" t="s">
        <v>107</v>
      </c>
      <c r="AB22" s="162" t="str">
        <f>HLOOKUP(Language!$C$3,Language!$E$1:$Z506,42,FALSE)</f>
        <v>Voltage inputs 115 V / Current inputs 5 A; full-scale 14 A (Ith = 32 A) (withdrawn)</v>
      </c>
      <c r="AC22" s="6" t="s">
        <v>22</v>
      </c>
      <c r="AD22" s="6"/>
      <c r="AE22" s="162" t="s">
        <v>107</v>
      </c>
      <c r="AG22" s="162" t="str">
        <f>HLOOKUP(Language!$C$3,Language!$E$1:$Z506,42,FALSE)</f>
        <v>Voltage inputs 115 V / Current inputs 5 A; full-scale 14 A (Ith = 32 A) (withdrawn)</v>
      </c>
      <c r="AH22" s="6" t="s">
        <v>22</v>
      </c>
      <c r="AI22" s="6"/>
      <c r="AJ22" s="162" t="s">
        <v>107</v>
      </c>
    </row>
    <row r="23" spans="1:36" x14ac:dyDescent="0.2">
      <c r="A23" s="12"/>
      <c r="B23" s="24"/>
      <c r="C23" s="162" t="str">
        <f>HLOOKUP(Language!$C$3,Language!$E$1:$Z504,12,FALSE)</f>
        <v>0-20 mA / ± 10 V</v>
      </c>
      <c r="D23" s="6" t="s">
        <v>23</v>
      </c>
      <c r="E23" s="6"/>
      <c r="F23" s="165" t="s">
        <v>107</v>
      </c>
      <c r="G23" s="162"/>
      <c r="H23" s="162" t="str">
        <f>HLOOKUP(Language!$C$3,Language!$E$1:$Z504,43,FALSE)</f>
        <v>Voltage inputs ±10 Vdc / Current inputs 0-20 mAdc</v>
      </c>
      <c r="I23" s="6" t="s">
        <v>23</v>
      </c>
      <c r="J23" s="6"/>
      <c r="K23" s="162" t="s">
        <v>107</v>
      </c>
      <c r="M23" s="162" t="str">
        <f>HLOOKUP(Language!$C$3,Language!$E$1:$Z504,43,FALSE)</f>
        <v>Voltage inputs ±10 Vdc / Current inputs 0-20 mAdc</v>
      </c>
      <c r="N23" s="6" t="s">
        <v>23</v>
      </c>
      <c r="O23" s="6"/>
      <c r="P23" s="162" t="s">
        <v>107</v>
      </c>
      <c r="R23" s="162" t="str">
        <f>HLOOKUP(Language!$C$3,Language!$E$1:$Z504,43,FALSE)</f>
        <v>Voltage inputs ±10 Vdc / Current inputs 0-20 mAdc</v>
      </c>
      <c r="S23" s="6" t="s">
        <v>23</v>
      </c>
      <c r="T23" s="6"/>
      <c r="U23" s="162" t="s">
        <v>107</v>
      </c>
      <c r="W23" s="162" t="str">
        <f>HLOOKUP(Language!$C$3,Language!$E$1:$Z507,43,FALSE)</f>
        <v>Voltage inputs ±10 Vdc / Current inputs 0-20 mAdc</v>
      </c>
      <c r="X23" s="6" t="s">
        <v>23</v>
      </c>
      <c r="Y23" s="6"/>
      <c r="Z23" s="162" t="s">
        <v>107</v>
      </c>
      <c r="AB23" s="162" t="str">
        <f>HLOOKUP(Language!$C$3,Language!$E$1:$Z507,43,FALSE)</f>
        <v>Voltage inputs ±10 Vdc / Current inputs 0-20 mAdc</v>
      </c>
      <c r="AC23" s="6" t="s">
        <v>23</v>
      </c>
      <c r="AD23" s="6"/>
      <c r="AE23" s="162" t="s">
        <v>107</v>
      </c>
      <c r="AG23" s="162" t="str">
        <f>HLOOKUP(Language!$C$3,Language!$E$1:$Z507,43,FALSE)</f>
        <v>Voltage inputs ±10 Vdc / Current inputs 0-20 mAdc</v>
      </c>
      <c r="AH23" s="6" t="s">
        <v>23</v>
      </c>
      <c r="AI23" s="6"/>
      <c r="AJ23" s="162" t="s">
        <v>107</v>
      </c>
    </row>
    <row r="24" spans="1:36" x14ac:dyDescent="0.2">
      <c r="A24" s="12"/>
      <c r="B24" s="24"/>
      <c r="C24" s="162" t="str">
        <f>HLOOKUP(Language!$C$3,Language!$E$1:$Z505,13,FALSE)</f>
        <v>100 mA / 115 V</v>
      </c>
      <c r="D24" s="6" t="s">
        <v>24</v>
      </c>
      <c r="E24" s="6"/>
      <c r="F24" s="165" t="s">
        <v>107</v>
      </c>
      <c r="G24" s="162"/>
      <c r="H24" s="162" t="str">
        <f>HLOOKUP(Language!$C$3,Language!$E$1:$Z505,44,FALSE)</f>
        <v>Voltage inputs 115 V / Current inputs 100 mA; full-scale 100 mA (Ith = 2 A)</v>
      </c>
      <c r="I24" s="6" t="s">
        <v>24</v>
      </c>
      <c r="J24" s="6"/>
      <c r="K24" s="162" t="s">
        <v>107</v>
      </c>
      <c r="M24" s="162" t="str">
        <f>HLOOKUP(Language!$C$3,Language!$E$1:$Z505,44,FALSE)</f>
        <v>Voltage inputs 115 V / Current inputs 100 mA; full-scale 100 mA (Ith = 2 A)</v>
      </c>
      <c r="N24" s="6" t="s">
        <v>24</v>
      </c>
      <c r="O24" s="6"/>
      <c r="P24" s="162" t="s">
        <v>107</v>
      </c>
      <c r="R24" s="162" t="str">
        <f>HLOOKUP(Language!$C$3,Language!$E$1:$Z505,44,FALSE)</f>
        <v>Voltage inputs 115 V / Current inputs 100 mA; full-scale 100 mA (Ith = 2 A)</v>
      </c>
      <c r="S24" s="6" t="s">
        <v>24</v>
      </c>
      <c r="T24" s="6"/>
      <c r="U24" s="162" t="s">
        <v>107</v>
      </c>
      <c r="W24" s="162" t="str">
        <f>HLOOKUP(Language!$C$3,Language!$E$1:$Z508,44,FALSE)</f>
        <v>Voltage inputs 115 V / Current inputs 100 mA; full-scale 100 mA (Ith = 2 A)</v>
      </c>
      <c r="X24" s="6" t="s">
        <v>24</v>
      </c>
      <c r="Y24" s="6"/>
      <c r="Z24" s="162" t="s">
        <v>107</v>
      </c>
      <c r="AB24" s="162" t="str">
        <f>HLOOKUP(Language!$C$3,Language!$E$1:$Z508,44,FALSE)</f>
        <v>Voltage inputs 115 V / Current inputs 100 mA; full-scale 100 mA (Ith = 2 A)</v>
      </c>
      <c r="AC24" s="6" t="s">
        <v>24</v>
      </c>
      <c r="AD24" s="6"/>
      <c r="AE24" s="162" t="s">
        <v>107</v>
      </c>
      <c r="AG24" s="162" t="str">
        <f>HLOOKUP(Language!$C$3,Language!$E$1:$Z508,44,FALSE)</f>
        <v>Voltage inputs 115 V / Current inputs 100 mA; full-scale 100 mA (Ith = 2 A)</v>
      </c>
      <c r="AH24" s="6" t="s">
        <v>24</v>
      </c>
      <c r="AI24" s="6"/>
      <c r="AJ24" s="162" t="s">
        <v>107</v>
      </c>
    </row>
    <row r="25" spans="1:36" x14ac:dyDescent="0.2">
      <c r="A25" s="12"/>
      <c r="B25" s="24"/>
      <c r="C25" s="162" t="str">
        <f>HLOOKUP(Language!$C$3,Language!$E$1:$Z506,14,FALSE)</f>
        <v>Not installed</v>
      </c>
      <c r="D25" s="6" t="s">
        <v>11</v>
      </c>
      <c r="E25" s="6"/>
      <c r="F25" s="165" t="s">
        <v>107</v>
      </c>
      <c r="G25" s="162"/>
      <c r="H25" s="162" t="str">
        <f>HLOOKUP(Language!$C$3,Language!$E$1:$Z506,14,FALSE)</f>
        <v>Not installed</v>
      </c>
      <c r="I25" s="6" t="s">
        <v>11</v>
      </c>
      <c r="J25" s="6"/>
      <c r="K25" s="162" t="s">
        <v>107</v>
      </c>
      <c r="M25" s="162" t="str">
        <f>HLOOKUP(Language!$C$3,Language!$E$1:$Z506,14,FALSE)</f>
        <v>Not installed</v>
      </c>
      <c r="N25" s="6" t="s">
        <v>11</v>
      </c>
      <c r="O25" s="6"/>
      <c r="P25" s="162" t="s">
        <v>107</v>
      </c>
      <c r="R25" s="162" t="str">
        <f>HLOOKUP(Language!$C$3,Language!$E$1:$Z506,14,FALSE)</f>
        <v>Not installed</v>
      </c>
      <c r="S25" s="6" t="s">
        <v>11</v>
      </c>
      <c r="T25" s="6"/>
      <c r="U25" s="162" t="s">
        <v>107</v>
      </c>
      <c r="W25" s="162" t="str">
        <f>HLOOKUP(Language!$C$3,Language!$E$1:$Z509,14,FALSE)</f>
        <v>Not installed</v>
      </c>
      <c r="X25" s="6" t="s">
        <v>11</v>
      </c>
      <c r="Y25" s="6"/>
      <c r="Z25" s="162" t="s">
        <v>107</v>
      </c>
      <c r="AB25" s="162" t="str">
        <f>HLOOKUP(Language!$C$3,Language!$E$1:$Z509,14,FALSE)</f>
        <v>Not installed</v>
      </c>
      <c r="AC25" s="6" t="s">
        <v>11</v>
      </c>
      <c r="AD25" s="6"/>
      <c r="AE25" s="162" t="s">
        <v>107</v>
      </c>
      <c r="AG25" s="162" t="str">
        <f>HLOOKUP(Language!$C$3,Language!$E$1:$Z509,14,FALSE)</f>
        <v>Not installed</v>
      </c>
      <c r="AH25" s="6" t="s">
        <v>11</v>
      </c>
      <c r="AI25" s="6"/>
      <c r="AJ25" s="162" t="s">
        <v>107</v>
      </c>
    </row>
    <row r="26" spans="1:36" x14ac:dyDescent="0.2">
      <c r="A26" s="20"/>
      <c r="C26" s="169"/>
      <c r="D26" s="6"/>
      <c r="E26" s="6"/>
      <c r="G26" s="162"/>
      <c r="H26" s="169"/>
      <c r="I26" s="6"/>
      <c r="J26" s="6"/>
      <c r="K26" s="162"/>
      <c r="M26" s="169"/>
      <c r="N26" s="6"/>
      <c r="O26" s="6"/>
      <c r="P26" s="162"/>
      <c r="R26" s="169"/>
      <c r="S26" s="6"/>
      <c r="T26" s="6"/>
      <c r="U26" s="162"/>
      <c r="W26" s="169"/>
      <c r="X26" s="6"/>
      <c r="Y26" s="6"/>
      <c r="Z26" s="162"/>
      <c r="AB26" s="169"/>
      <c r="AC26" s="6"/>
      <c r="AD26" s="6"/>
      <c r="AE26" s="162"/>
      <c r="AG26" s="169"/>
      <c r="AH26" s="6"/>
      <c r="AI26" s="6"/>
      <c r="AJ26" s="162"/>
    </row>
    <row r="27" spans="1:36" x14ac:dyDescent="0.2">
      <c r="A27" s="11">
        <v>4</v>
      </c>
      <c r="B27" s="4" t="str">
        <f>HLOOKUP(Language!$C$3,Language!$E$1:$Z565,18,FALSE)</f>
        <v>Digital Inputs 1 to 16</v>
      </c>
      <c r="C27" s="11" t="str">
        <f>HLOOKUP(Language!$C$3,Language!$E$1:$Z531,19,FALSE)</f>
        <v>24 V / 48 V</v>
      </c>
      <c r="D27" s="11">
        <v>1</v>
      </c>
      <c r="E27" s="11"/>
      <c r="F27" s="16" t="s">
        <v>107</v>
      </c>
      <c r="G27" s="12"/>
      <c r="H27" s="11" t="str">
        <f>HLOOKUP(Language!$C$3,Language!$E$1:$Z531,19,FALSE)</f>
        <v>24 V / 48 V</v>
      </c>
      <c r="I27" s="11">
        <v>1</v>
      </c>
      <c r="J27" s="11"/>
      <c r="K27" s="11" t="s">
        <v>107</v>
      </c>
      <c r="M27" s="11" t="str">
        <f>HLOOKUP(Language!$C$3,Language!$E$1:$Z531,19,FALSE)</f>
        <v>24 V / 48 V</v>
      </c>
      <c r="N27" s="11">
        <v>1</v>
      </c>
      <c r="O27" s="11"/>
      <c r="P27" s="11" t="s">
        <v>107</v>
      </c>
      <c r="R27" s="11" t="str">
        <f>HLOOKUP(Language!$C$3,Language!$E$1:$Z531,19,FALSE)</f>
        <v>24 V / 48 V</v>
      </c>
      <c r="S27" s="11">
        <v>1</v>
      </c>
      <c r="T27" s="11"/>
      <c r="U27" s="11" t="s">
        <v>107</v>
      </c>
      <c r="W27" s="11" t="str">
        <f>HLOOKUP(Language!$C$3,Language!$E$1:$Z531,19,FALSE)</f>
        <v>24 V / 48 V</v>
      </c>
      <c r="X27" s="11">
        <v>1</v>
      </c>
      <c r="Y27" s="11"/>
      <c r="Z27" s="11" t="s">
        <v>107</v>
      </c>
      <c r="AB27" s="11" t="str">
        <f>HLOOKUP(Language!$C$3,Language!$E$1:$Z531,19,FALSE)</f>
        <v>24 V / 48 V</v>
      </c>
      <c r="AC27" s="11">
        <v>1</v>
      </c>
      <c r="AD27" s="11"/>
      <c r="AE27" s="11" t="s">
        <v>107</v>
      </c>
      <c r="AG27" s="11" t="str">
        <f>HLOOKUP(Language!$C$3,Language!$E$1:$Z531,19,FALSE)</f>
        <v>24 V / 48 V</v>
      </c>
      <c r="AH27" s="11">
        <v>1</v>
      </c>
      <c r="AI27" s="11"/>
      <c r="AJ27" s="11" t="s">
        <v>107</v>
      </c>
    </row>
    <row r="28" spans="1:36" x14ac:dyDescent="0.2">
      <c r="A28" s="12"/>
      <c r="C28" s="12" t="str">
        <f>HLOOKUP(Language!$C$3,Language!$E$1:$Z531,20,FALSE)</f>
        <v>125 V</v>
      </c>
      <c r="D28" s="14">
        <v>2</v>
      </c>
      <c r="E28" s="14"/>
      <c r="F28" s="167" t="s">
        <v>107</v>
      </c>
      <c r="G28" s="12"/>
      <c r="H28" s="12" t="str">
        <f>HLOOKUP(Language!$C$3,Language!$E$1:$Z531,20,FALSE)</f>
        <v>125 V</v>
      </c>
      <c r="I28" s="14">
        <v>2</v>
      </c>
      <c r="J28" s="14"/>
      <c r="K28" s="12" t="s">
        <v>107</v>
      </c>
      <c r="M28" s="12" t="str">
        <f>HLOOKUP(Language!$C$3,Language!$E$1:$Z531,20,FALSE)</f>
        <v>125 V</v>
      </c>
      <c r="N28" s="14">
        <v>2</v>
      </c>
      <c r="O28" s="14"/>
      <c r="P28" s="12" t="s">
        <v>107</v>
      </c>
      <c r="R28" s="12" t="str">
        <f>HLOOKUP(Language!$C$3,Language!$E$1:$Z531,20,FALSE)</f>
        <v>125 V</v>
      </c>
      <c r="S28" s="14">
        <v>2</v>
      </c>
      <c r="T28" s="14"/>
      <c r="U28" s="12" t="s">
        <v>107</v>
      </c>
      <c r="W28" s="12" t="str">
        <f>HLOOKUP(Language!$C$3,Language!$E$1:$Z531,20,FALSE)</f>
        <v>125 V</v>
      </c>
      <c r="X28" s="14">
        <v>2</v>
      </c>
      <c r="Y28" s="14"/>
      <c r="Z28" s="12" t="s">
        <v>107</v>
      </c>
      <c r="AB28" s="12" t="str">
        <f>HLOOKUP(Language!$C$3,Language!$E$1:$Z531,20,FALSE)</f>
        <v>125 V</v>
      </c>
      <c r="AC28" s="14">
        <v>2</v>
      </c>
      <c r="AD28" s="14"/>
      <c r="AE28" s="12" t="s">
        <v>107</v>
      </c>
      <c r="AG28" s="12" t="str">
        <f>HLOOKUP(Language!$C$3,Language!$E$1:$Z531,20,FALSE)</f>
        <v>125 V</v>
      </c>
      <c r="AH28" s="14">
        <v>2</v>
      </c>
      <c r="AI28" s="14"/>
      <c r="AJ28" s="12" t="s">
        <v>107</v>
      </c>
    </row>
    <row r="29" spans="1:36" x14ac:dyDescent="0.2">
      <c r="A29" s="12"/>
      <c r="C29" s="12" t="str">
        <f>HLOOKUP(Language!$C$3,Language!$E$1:$Z531,21,FALSE)</f>
        <v>250 V</v>
      </c>
      <c r="D29" s="14">
        <v>3</v>
      </c>
      <c r="E29" s="14"/>
      <c r="F29" s="167" t="s">
        <v>107</v>
      </c>
      <c r="G29" s="12"/>
      <c r="H29" s="12" t="str">
        <f>HLOOKUP(Language!$C$3,Language!$E$1:$Z531,21,FALSE)</f>
        <v>250 V</v>
      </c>
      <c r="I29" s="14">
        <v>3</v>
      </c>
      <c r="J29" s="14"/>
      <c r="K29" s="12" t="s">
        <v>107</v>
      </c>
      <c r="M29" s="12" t="str">
        <f>HLOOKUP(Language!$C$3,Language!$E$1:$Z531,21,FALSE)</f>
        <v>250 V</v>
      </c>
      <c r="N29" s="14">
        <v>3</v>
      </c>
      <c r="O29" s="14"/>
      <c r="P29" s="12" t="s">
        <v>107</v>
      </c>
      <c r="R29" s="12" t="str">
        <f>HLOOKUP(Language!$C$3,Language!$E$1:$Z531,21,FALSE)</f>
        <v>250 V</v>
      </c>
      <c r="S29" s="14">
        <v>3</v>
      </c>
      <c r="T29" s="14"/>
      <c r="U29" s="12" t="s">
        <v>107</v>
      </c>
      <c r="W29" s="12" t="str">
        <f>HLOOKUP(Language!$C$3,Language!$E$1:$Z531,21,FALSE)</f>
        <v>250 V</v>
      </c>
      <c r="X29" s="14">
        <v>3</v>
      </c>
      <c r="Y29" s="14"/>
      <c r="Z29" s="12" t="s">
        <v>107</v>
      </c>
      <c r="AB29" s="12" t="str">
        <f>HLOOKUP(Language!$C$3,Language!$E$1:$Z531,21,FALSE)</f>
        <v>250 V</v>
      </c>
      <c r="AC29" s="14">
        <v>3</v>
      </c>
      <c r="AD29" s="14"/>
      <c r="AE29" s="12" t="s">
        <v>107</v>
      </c>
      <c r="AG29" s="12" t="str">
        <f>HLOOKUP(Language!$C$3,Language!$E$1:$Z531,21,FALSE)</f>
        <v>250 V</v>
      </c>
      <c r="AH29" s="14">
        <v>3</v>
      </c>
      <c r="AI29" s="14"/>
      <c r="AJ29" s="12" t="s">
        <v>107</v>
      </c>
    </row>
    <row r="30" spans="1:36" x14ac:dyDescent="0.2">
      <c r="A30" s="12"/>
      <c r="C30" s="12" t="str">
        <f>HLOOKUP(Language!$C$3,Language!$E$1:$Z548,14,FALSE)</f>
        <v>Not installed</v>
      </c>
      <c r="D30" s="14" t="s">
        <v>11</v>
      </c>
      <c r="E30" s="14"/>
      <c r="F30" s="167" t="s">
        <v>107</v>
      </c>
      <c r="G30" s="12"/>
      <c r="H30" s="12" t="str">
        <f>HLOOKUP(Language!$C$3,Language!$E$1:$Z548,14,FALSE)</f>
        <v>Not installed</v>
      </c>
      <c r="I30" s="14" t="s">
        <v>11</v>
      </c>
      <c r="J30" s="14"/>
      <c r="K30" s="12" t="s">
        <v>107</v>
      </c>
      <c r="M30" s="12" t="str">
        <f>HLOOKUP(Language!$C$3,Language!$E$1:$Z548,14,FALSE)</f>
        <v>Not installed</v>
      </c>
      <c r="N30" s="14" t="s">
        <v>11</v>
      </c>
      <c r="O30" s="14"/>
      <c r="P30" s="12" t="s">
        <v>107</v>
      </c>
      <c r="R30" s="12" t="str">
        <f>HLOOKUP(Language!$C$3,Language!$E$1:$Z548,14,FALSE)</f>
        <v>Not installed</v>
      </c>
      <c r="S30" s="14" t="s">
        <v>11</v>
      </c>
      <c r="T30" s="14"/>
      <c r="U30" s="12" t="s">
        <v>107</v>
      </c>
      <c r="W30" s="12" t="str">
        <f>HLOOKUP(Language!$C$3,Language!$E$1:$Z548,14,FALSE)</f>
        <v>Not installed</v>
      </c>
      <c r="X30" s="14" t="s">
        <v>11</v>
      </c>
      <c r="Y30" s="14"/>
      <c r="Z30" s="12" t="s">
        <v>107</v>
      </c>
      <c r="AB30" s="12" t="str">
        <f>HLOOKUP(Language!$C$3,Language!$E$1:$Z548,14,FALSE)</f>
        <v>Not installed</v>
      </c>
      <c r="AC30" s="14" t="s">
        <v>11</v>
      </c>
      <c r="AD30" s="14"/>
      <c r="AE30" s="12" t="s">
        <v>107</v>
      </c>
      <c r="AG30" s="12" t="str">
        <f>HLOOKUP(Language!$C$3,Language!$E$1:$Z548,14,FALSE)</f>
        <v>Not installed</v>
      </c>
      <c r="AH30" s="14" t="s">
        <v>11</v>
      </c>
      <c r="AI30" s="14"/>
      <c r="AJ30" s="12" t="s">
        <v>107</v>
      </c>
    </row>
    <row r="31" spans="1:36" x14ac:dyDescent="0.2">
      <c r="A31" s="20"/>
      <c r="C31" s="20"/>
      <c r="D31" s="14"/>
      <c r="E31" s="14"/>
      <c r="F31" s="167"/>
      <c r="G31" s="12"/>
      <c r="H31" s="20"/>
      <c r="I31" s="14"/>
      <c r="J31" s="14"/>
      <c r="K31" s="12"/>
      <c r="M31" s="20"/>
      <c r="N31" s="14"/>
      <c r="O31" s="14"/>
      <c r="P31" s="12"/>
      <c r="R31" s="20"/>
      <c r="S31" s="14"/>
      <c r="T31" s="14"/>
      <c r="U31" s="12"/>
      <c r="W31" s="20"/>
      <c r="X31" s="14"/>
      <c r="Y31" s="14"/>
      <c r="Z31" s="12"/>
      <c r="AB31" s="20"/>
      <c r="AC31" s="14"/>
      <c r="AD31" s="14"/>
      <c r="AE31" s="12"/>
      <c r="AG31" s="20"/>
      <c r="AH31" s="14"/>
      <c r="AI31" s="14"/>
      <c r="AJ31" s="12"/>
    </row>
    <row r="32" spans="1:36" x14ac:dyDescent="0.2">
      <c r="A32" s="11">
        <v>5</v>
      </c>
      <c r="B32" s="4" t="str">
        <f>HLOOKUP(Language!$C$3,Language!$E$1:$Z560,22,FALSE)</f>
        <v>Digital Inputs 17 to 32</v>
      </c>
      <c r="C32" s="11" t="str">
        <f>HLOOKUP(Language!$C$3,Language!$E$1:$Z533,19,FALSE)</f>
        <v>24 V / 48 V</v>
      </c>
      <c r="D32" s="11">
        <v>1</v>
      </c>
      <c r="E32" s="11"/>
      <c r="F32" s="16" t="s">
        <v>107</v>
      </c>
      <c r="G32" s="12"/>
      <c r="H32" s="11" t="str">
        <f>HLOOKUP(Language!$C$3,Language!$E$1:$Z533,19,FALSE)</f>
        <v>24 V / 48 V</v>
      </c>
      <c r="I32" s="11">
        <v>1</v>
      </c>
      <c r="J32" s="11"/>
      <c r="K32" s="11" t="s">
        <v>107</v>
      </c>
      <c r="M32" s="11" t="str">
        <f>HLOOKUP(Language!$C$3,Language!$E$1:$Z533,19,FALSE)</f>
        <v>24 V / 48 V</v>
      </c>
      <c r="N32" s="11">
        <v>1</v>
      </c>
      <c r="O32" s="11"/>
      <c r="P32" s="11" t="s">
        <v>107</v>
      </c>
      <c r="R32" s="11" t="str">
        <f>HLOOKUP(Language!$C$3,Language!$E$1:$Z533,19,FALSE)</f>
        <v>24 V / 48 V</v>
      </c>
      <c r="S32" s="11">
        <v>1</v>
      </c>
      <c r="T32" s="11"/>
      <c r="U32" s="11" t="s">
        <v>107</v>
      </c>
      <c r="W32" s="11" t="str">
        <f>HLOOKUP(Language!$C$3,Language!$E$1:$Z533,19,FALSE)</f>
        <v>24 V / 48 V</v>
      </c>
      <c r="X32" s="11">
        <v>1</v>
      </c>
      <c r="Y32" s="11"/>
      <c r="Z32" s="11" t="s">
        <v>107</v>
      </c>
      <c r="AB32" s="11" t="str">
        <f>HLOOKUP(Language!$C$3,Language!$E$1:$Z533,19,FALSE)</f>
        <v>24 V / 48 V</v>
      </c>
      <c r="AC32" s="11">
        <v>1</v>
      </c>
      <c r="AD32" s="11"/>
      <c r="AE32" s="11" t="s">
        <v>107</v>
      </c>
      <c r="AG32" s="11" t="str">
        <f>HLOOKUP(Language!$C$3,Language!$E$1:$Z533,19,FALSE)</f>
        <v>24 V / 48 V</v>
      </c>
      <c r="AH32" s="11">
        <v>1</v>
      </c>
      <c r="AI32" s="11"/>
      <c r="AJ32" s="11" t="s">
        <v>107</v>
      </c>
    </row>
    <row r="33" spans="1:36" x14ac:dyDescent="0.2">
      <c r="A33" s="12"/>
      <c r="B33" s="24"/>
      <c r="C33" s="12" t="str">
        <f>HLOOKUP(Language!$C$3,Language!$E$1:$Z533,20,FALSE)</f>
        <v>125 V</v>
      </c>
      <c r="D33" s="14">
        <v>2</v>
      </c>
      <c r="E33" s="14"/>
      <c r="F33" s="167" t="s">
        <v>107</v>
      </c>
      <c r="G33" s="12"/>
      <c r="H33" s="12" t="str">
        <f>HLOOKUP(Language!$C$3,Language!$E$1:$Z533,20,FALSE)</f>
        <v>125 V</v>
      </c>
      <c r="I33" s="14">
        <v>2</v>
      </c>
      <c r="J33" s="14"/>
      <c r="K33" s="12" t="s">
        <v>107</v>
      </c>
      <c r="M33" s="12" t="str">
        <f>HLOOKUP(Language!$C$3,Language!$E$1:$Z533,20,FALSE)</f>
        <v>125 V</v>
      </c>
      <c r="N33" s="14">
        <v>2</v>
      </c>
      <c r="O33" s="14"/>
      <c r="P33" s="12" t="s">
        <v>107</v>
      </c>
      <c r="R33" s="12" t="str">
        <f>HLOOKUP(Language!$C$3,Language!$E$1:$Z533,20,FALSE)</f>
        <v>125 V</v>
      </c>
      <c r="S33" s="14">
        <v>2</v>
      </c>
      <c r="T33" s="14"/>
      <c r="U33" s="12" t="s">
        <v>107</v>
      </c>
      <c r="W33" s="12" t="str">
        <f>HLOOKUP(Language!$C$3,Language!$E$1:$Z533,20,FALSE)</f>
        <v>125 V</v>
      </c>
      <c r="X33" s="14">
        <v>2</v>
      </c>
      <c r="Y33" s="14"/>
      <c r="Z33" s="12" t="s">
        <v>107</v>
      </c>
      <c r="AB33" s="12" t="str">
        <f>HLOOKUP(Language!$C$3,Language!$E$1:$Z533,20,FALSE)</f>
        <v>125 V</v>
      </c>
      <c r="AC33" s="14">
        <v>2</v>
      </c>
      <c r="AD33" s="14"/>
      <c r="AE33" s="12" t="s">
        <v>107</v>
      </c>
      <c r="AG33" s="12" t="str">
        <f>HLOOKUP(Language!$C$3,Language!$E$1:$Z533,20,FALSE)</f>
        <v>125 V</v>
      </c>
      <c r="AH33" s="14">
        <v>2</v>
      </c>
      <c r="AI33" s="14"/>
      <c r="AJ33" s="12" t="s">
        <v>107</v>
      </c>
    </row>
    <row r="34" spans="1:36" x14ac:dyDescent="0.2">
      <c r="A34" s="12"/>
      <c r="B34" s="24"/>
      <c r="C34" s="12" t="str">
        <f>HLOOKUP(Language!$C$3,Language!$E$1:$Z533,21,FALSE)</f>
        <v>250 V</v>
      </c>
      <c r="D34" s="14">
        <v>3</v>
      </c>
      <c r="E34" s="14"/>
      <c r="F34" s="167" t="s">
        <v>107</v>
      </c>
      <c r="G34" s="12"/>
      <c r="H34" s="12" t="str">
        <f>HLOOKUP(Language!$C$3,Language!$E$1:$Z533,21,FALSE)</f>
        <v>250 V</v>
      </c>
      <c r="I34" s="14">
        <v>3</v>
      </c>
      <c r="J34" s="14"/>
      <c r="K34" s="12" t="s">
        <v>107</v>
      </c>
      <c r="M34" s="12" t="str">
        <f>HLOOKUP(Language!$C$3,Language!$E$1:$Z533,21,FALSE)</f>
        <v>250 V</v>
      </c>
      <c r="N34" s="14">
        <v>3</v>
      </c>
      <c r="O34" s="14"/>
      <c r="P34" s="12" t="s">
        <v>107</v>
      </c>
      <c r="R34" s="12" t="str">
        <f>HLOOKUP(Language!$C$3,Language!$E$1:$Z533,21,FALSE)</f>
        <v>250 V</v>
      </c>
      <c r="S34" s="14">
        <v>3</v>
      </c>
      <c r="T34" s="14"/>
      <c r="U34" s="12" t="s">
        <v>107</v>
      </c>
      <c r="W34" s="12" t="str">
        <f>HLOOKUP(Language!$C$3,Language!$E$1:$Z533,21,FALSE)</f>
        <v>250 V</v>
      </c>
      <c r="X34" s="14">
        <v>3</v>
      </c>
      <c r="Y34" s="14"/>
      <c r="Z34" s="12" t="s">
        <v>107</v>
      </c>
      <c r="AB34" s="12" t="str">
        <f>HLOOKUP(Language!$C$3,Language!$E$1:$Z533,21,FALSE)</f>
        <v>250 V</v>
      </c>
      <c r="AC34" s="14">
        <v>3</v>
      </c>
      <c r="AD34" s="14"/>
      <c r="AE34" s="12" t="s">
        <v>107</v>
      </c>
      <c r="AG34" s="12" t="str">
        <f>HLOOKUP(Language!$C$3,Language!$E$1:$Z533,21,FALSE)</f>
        <v>250 V</v>
      </c>
      <c r="AH34" s="14">
        <v>3</v>
      </c>
      <c r="AI34" s="14"/>
      <c r="AJ34" s="12" t="s">
        <v>107</v>
      </c>
    </row>
    <row r="35" spans="1:36" x14ac:dyDescent="0.2">
      <c r="A35" s="12"/>
      <c r="B35" s="24"/>
      <c r="C35" s="12" t="str">
        <f>HLOOKUP(Language!$C$3,Language!$E$1:$Z550,14,FALSE)</f>
        <v>Not installed</v>
      </c>
      <c r="D35" s="14" t="s">
        <v>11</v>
      </c>
      <c r="E35" s="14"/>
      <c r="F35" s="167" t="s">
        <v>107</v>
      </c>
      <c r="G35" s="12"/>
      <c r="H35" s="12" t="str">
        <f>HLOOKUP(Language!$C$3,Language!$E$1:$Z550,14,FALSE)</f>
        <v>Not installed</v>
      </c>
      <c r="I35" s="14" t="s">
        <v>11</v>
      </c>
      <c r="J35" s="14"/>
      <c r="K35" s="12" t="s">
        <v>107</v>
      </c>
      <c r="M35" s="12" t="str">
        <f>HLOOKUP(Language!$C$3,Language!$E$1:$Z550,14,FALSE)</f>
        <v>Not installed</v>
      </c>
      <c r="N35" s="14" t="s">
        <v>11</v>
      </c>
      <c r="O35" s="14"/>
      <c r="P35" s="12" t="s">
        <v>107</v>
      </c>
      <c r="R35" s="12" t="str">
        <f>HLOOKUP(Language!$C$3,Language!$E$1:$Z550,14,FALSE)</f>
        <v>Not installed</v>
      </c>
      <c r="S35" s="14" t="s">
        <v>11</v>
      </c>
      <c r="T35" s="14"/>
      <c r="U35" s="12" t="s">
        <v>107</v>
      </c>
      <c r="W35" s="12" t="str">
        <f>HLOOKUP(Language!$C$3,Language!$E$1:$Z550,14,FALSE)</f>
        <v>Not installed</v>
      </c>
      <c r="X35" s="14" t="s">
        <v>11</v>
      </c>
      <c r="Y35" s="14"/>
      <c r="Z35" s="12" t="s">
        <v>107</v>
      </c>
      <c r="AB35" s="12" t="str">
        <f>HLOOKUP(Language!$C$3,Language!$E$1:$Z550,14,FALSE)</f>
        <v>Not installed</v>
      </c>
      <c r="AC35" s="14" t="s">
        <v>11</v>
      </c>
      <c r="AD35" s="14"/>
      <c r="AE35" s="12" t="s">
        <v>107</v>
      </c>
      <c r="AG35" s="12" t="str">
        <f>HLOOKUP(Language!$C$3,Language!$E$1:$Z550,14,FALSE)</f>
        <v>Not installed</v>
      </c>
      <c r="AH35" s="14" t="s">
        <v>11</v>
      </c>
      <c r="AI35" s="14"/>
      <c r="AJ35" s="12" t="s">
        <v>107</v>
      </c>
    </row>
    <row r="36" spans="1:36" x14ac:dyDescent="0.2">
      <c r="A36" s="20"/>
      <c r="C36" s="169"/>
      <c r="D36" s="6"/>
      <c r="E36" s="6"/>
      <c r="G36" s="162"/>
      <c r="H36" s="169"/>
      <c r="I36" s="6"/>
      <c r="J36" s="6"/>
      <c r="K36" s="162"/>
      <c r="M36" s="169"/>
      <c r="N36" s="6"/>
      <c r="O36" s="6"/>
      <c r="P36" s="162"/>
      <c r="R36" s="169"/>
      <c r="S36" s="6"/>
      <c r="T36" s="6"/>
      <c r="U36" s="162"/>
      <c r="W36" s="169"/>
      <c r="X36" s="6"/>
      <c r="Y36" s="6"/>
      <c r="Z36" s="162"/>
      <c r="AB36" s="169"/>
      <c r="AC36" s="6"/>
      <c r="AD36" s="6"/>
      <c r="AE36" s="162"/>
      <c r="AG36" s="169"/>
      <c r="AH36" s="6"/>
      <c r="AI36" s="6"/>
      <c r="AJ36" s="162"/>
    </row>
    <row r="37" spans="1:36" x14ac:dyDescent="0.2">
      <c r="A37" s="11">
        <v>6</v>
      </c>
      <c r="B37" s="4" t="str">
        <f>HLOOKUP(Language!$C$3,Language!$E$1:$Z565,23,FALSE)</f>
        <v>Customization / Regionalisation</v>
      </c>
      <c r="C37" s="11" t="str">
        <f>HLOOKUP(Language!$C$3,Language!$E$1:$Z548,24,FALSE)</f>
        <v>Default</v>
      </c>
      <c r="D37" s="11" t="s">
        <v>0</v>
      </c>
      <c r="E37" s="11"/>
      <c r="F37" s="16" t="s">
        <v>107</v>
      </c>
      <c r="G37" s="12"/>
      <c r="H37" s="11" t="str">
        <f>HLOOKUP(Language!$C$3,Language!$E$1:$Z548,24,FALSE)</f>
        <v>Default</v>
      </c>
      <c r="I37" s="11" t="s">
        <v>0</v>
      </c>
      <c r="J37" s="11"/>
      <c r="K37" s="11" t="s">
        <v>107</v>
      </c>
      <c r="M37" s="11" t="str">
        <f>HLOOKUP(Language!$C$3,Language!$E$1:$Z548,51,FALSE)</f>
        <v>GE branding</v>
      </c>
      <c r="N37" s="11" t="s">
        <v>2</v>
      </c>
      <c r="O37" s="11"/>
      <c r="P37" s="11" t="s">
        <v>107</v>
      </c>
      <c r="R37" s="11" t="str">
        <f>HLOOKUP(Language!$C$3,Language!$E$1:$Z548,51,FALSE)</f>
        <v>GE branding</v>
      </c>
      <c r="S37" s="11" t="s">
        <v>2</v>
      </c>
      <c r="T37" s="11"/>
      <c r="U37" s="11" t="s">
        <v>107</v>
      </c>
      <c r="W37" s="11" t="str">
        <f>HLOOKUP(Language!$C$3,Language!$E$1:$Z548,51,FALSE)</f>
        <v>GE branding</v>
      </c>
      <c r="X37" s="11" t="s">
        <v>2</v>
      </c>
      <c r="Y37" s="11"/>
      <c r="Z37" s="11" t="s">
        <v>107</v>
      </c>
      <c r="AB37" s="11" t="str">
        <f>HLOOKUP(Language!$C$3,Language!$E$1:$Z548,51,FALSE)</f>
        <v>GE branding</v>
      </c>
      <c r="AC37" s="11" t="s">
        <v>2</v>
      </c>
      <c r="AD37" s="11"/>
      <c r="AE37" s="11" t="s">
        <v>107</v>
      </c>
      <c r="AG37" s="11" t="str">
        <f>HLOOKUP(Language!$C$3,Language!$E$1:$Z548,51,FALSE)</f>
        <v>GE branding</v>
      </c>
      <c r="AH37" s="11" t="s">
        <v>2</v>
      </c>
      <c r="AI37" s="11"/>
      <c r="AJ37" s="11" t="s">
        <v>107</v>
      </c>
    </row>
    <row r="38" spans="1:36" x14ac:dyDescent="0.2">
      <c r="A38" s="12"/>
      <c r="B38" s="24"/>
      <c r="C38" s="12" t="str">
        <f>HLOOKUP(Language!$C$3,Language!$E$1:$Z548,25,FALSE)</f>
        <v>Reason branding</v>
      </c>
      <c r="D38" s="14" t="s">
        <v>1</v>
      </c>
      <c r="E38" s="14"/>
      <c r="F38" s="167" t="s">
        <v>107</v>
      </c>
      <c r="G38" s="12"/>
      <c r="H38" s="12" t="str">
        <f>HLOOKUP(Language!$C$3,Language!$E$1:$Z548,25,FALSE)</f>
        <v>Reason branding</v>
      </c>
      <c r="I38" s="14" t="s">
        <v>1</v>
      </c>
      <c r="J38" s="14"/>
      <c r="K38" s="12" t="s">
        <v>107</v>
      </c>
      <c r="M38" s="12"/>
      <c r="N38" s="14"/>
      <c r="O38" s="14"/>
      <c r="P38" s="12"/>
      <c r="R38" s="12"/>
      <c r="S38" s="14"/>
      <c r="T38" s="14"/>
      <c r="U38" s="12"/>
      <c r="W38" s="12"/>
      <c r="X38" s="14"/>
      <c r="Y38" s="14"/>
      <c r="Z38" s="12"/>
      <c r="AB38" s="12"/>
      <c r="AC38" s="14"/>
      <c r="AD38" s="14"/>
      <c r="AE38" s="12"/>
      <c r="AG38" s="12"/>
      <c r="AH38" s="14"/>
      <c r="AI38" s="14"/>
      <c r="AJ38" s="12"/>
    </row>
    <row r="39" spans="1:36" x14ac:dyDescent="0.2">
      <c r="A39" s="20"/>
      <c r="C39" s="169"/>
      <c r="D39" s="6"/>
      <c r="E39" s="6"/>
      <c r="G39" s="162"/>
      <c r="H39" s="169"/>
      <c r="I39" s="6"/>
      <c r="J39" s="6"/>
      <c r="K39" s="162"/>
      <c r="M39" s="169"/>
      <c r="N39" s="6"/>
      <c r="O39" s="6"/>
      <c r="P39" s="162"/>
      <c r="R39" s="169"/>
      <c r="S39" s="6"/>
      <c r="T39" s="6"/>
      <c r="U39" s="162"/>
      <c r="W39" s="169"/>
      <c r="X39" s="6"/>
      <c r="Y39" s="6"/>
      <c r="Z39" s="162"/>
      <c r="AB39" s="169"/>
      <c r="AC39" s="6"/>
      <c r="AD39" s="6"/>
      <c r="AE39" s="162"/>
      <c r="AG39" s="169"/>
      <c r="AH39" s="6"/>
      <c r="AI39" s="6"/>
      <c r="AJ39" s="162"/>
    </row>
    <row r="40" spans="1:36" x14ac:dyDescent="0.2">
      <c r="A40" s="11">
        <v>7</v>
      </c>
      <c r="B40" s="4" t="str">
        <f>HLOOKUP(Language!$C$3,Language!$E$1:$Z565,26,FALSE)</f>
        <v>Hardware Design Suffix</v>
      </c>
      <c r="C40" s="11" t="str">
        <f>HLOOKUP(Language!$C$3,Language!$E$1:$Z565,27,FALSE)</f>
        <v>Third version</v>
      </c>
      <c r="D40" s="168" t="s">
        <v>2</v>
      </c>
      <c r="E40" s="13"/>
      <c r="F40" s="13" t="s">
        <v>107</v>
      </c>
      <c r="G40" s="12"/>
      <c r="H40" s="11" t="str">
        <f>HLOOKUP(Language!$C$3,Language!$E$1:$Z565,27,FALSE)</f>
        <v>Third version</v>
      </c>
      <c r="I40" s="168" t="s">
        <v>2</v>
      </c>
      <c r="J40" s="13"/>
      <c r="K40" s="11" t="s">
        <v>107</v>
      </c>
      <c r="M40" s="11" t="str">
        <f>HLOOKUP(Language!$C$3,Language!$E$1:$Z565,27,FALSE)</f>
        <v>Third version</v>
      </c>
      <c r="N40" s="168" t="s">
        <v>2</v>
      </c>
      <c r="O40" s="13"/>
      <c r="P40" s="11" t="s">
        <v>107</v>
      </c>
      <c r="R40" s="11" t="str">
        <f>HLOOKUP(Language!$C$3,Language!$E$1:$Z565,27,FALSE)</f>
        <v>Third version</v>
      </c>
      <c r="S40" s="168" t="s">
        <v>2</v>
      </c>
      <c r="T40" s="13"/>
      <c r="U40" s="11" t="s">
        <v>107</v>
      </c>
      <c r="W40" s="11" t="str">
        <f>HLOOKUP(Language!$C$3,Language!$E$1:$Z565,27,FALSE)</f>
        <v>Third version</v>
      </c>
      <c r="X40" s="168" t="s">
        <v>2</v>
      </c>
      <c r="Y40" s="13"/>
      <c r="Z40" s="11" t="s">
        <v>107</v>
      </c>
      <c r="AB40" s="11" t="str">
        <f>HLOOKUP(Language!$C$3,Language!$E$1:$Z565,27,FALSE)</f>
        <v>Third version</v>
      </c>
      <c r="AC40" s="168" t="s">
        <v>2</v>
      </c>
      <c r="AD40" s="13"/>
      <c r="AE40" s="11" t="s">
        <v>107</v>
      </c>
      <c r="AG40" s="11" t="str">
        <f>HLOOKUP(Language!$C$3,Language!$E$1:$Z565,27,FALSE)</f>
        <v>Third version</v>
      </c>
      <c r="AH40" s="168" t="s">
        <v>2</v>
      </c>
      <c r="AI40" s="13"/>
      <c r="AJ40" s="11" t="s">
        <v>107</v>
      </c>
    </row>
    <row r="41" spans="1:36" x14ac:dyDescent="0.2">
      <c r="A41" s="20"/>
      <c r="B41" s="170"/>
      <c r="C41" s="169"/>
      <c r="D41" s="171"/>
      <c r="E41" s="171"/>
      <c r="F41" s="171"/>
      <c r="G41" s="162"/>
      <c r="H41" s="169"/>
      <c r="I41" s="171"/>
      <c r="J41" s="171"/>
      <c r="K41" s="169"/>
      <c r="M41" s="169"/>
      <c r="N41" s="171"/>
      <c r="O41" s="171"/>
      <c r="P41" s="169"/>
      <c r="R41" s="169"/>
      <c r="S41" s="171"/>
      <c r="T41" s="171"/>
      <c r="U41" s="169"/>
      <c r="W41" s="169"/>
      <c r="X41" s="171"/>
      <c r="Y41" s="171"/>
      <c r="Z41" s="169"/>
      <c r="AB41" s="169"/>
      <c r="AC41" s="171"/>
      <c r="AD41" s="171"/>
      <c r="AE41" s="169"/>
      <c r="AG41" s="169"/>
      <c r="AH41" s="171"/>
      <c r="AI41" s="171"/>
      <c r="AJ41" s="169"/>
    </row>
  </sheetData>
  <phoneticPr fontId="19"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2"/>
  <sheetViews>
    <sheetView topLeftCell="A34" zoomScaleNormal="100" workbookViewId="0">
      <selection activeCell="E58" sqref="E58:G58"/>
    </sheetView>
  </sheetViews>
  <sheetFormatPr defaultRowHeight="15" x14ac:dyDescent="0.25"/>
  <cols>
    <col min="1" max="1" width="2.42578125" style="122" customWidth="1"/>
    <col min="2" max="2" width="28.85546875" style="123" customWidth="1"/>
    <col min="3" max="3" width="3.140625" style="124" customWidth="1"/>
    <col min="4" max="4" width="3.140625" style="123" customWidth="1"/>
    <col min="5" max="5" width="72.7109375" style="125" customWidth="1"/>
    <col min="6" max="6" width="75" style="125" customWidth="1"/>
    <col min="7" max="7" width="75" customWidth="1"/>
  </cols>
  <sheetData>
    <row r="1" spans="1:7" x14ac:dyDescent="0.25">
      <c r="B1" s="123" t="s">
        <v>32</v>
      </c>
      <c r="E1" s="125" t="s">
        <v>33</v>
      </c>
      <c r="F1" s="125" t="s">
        <v>34</v>
      </c>
      <c r="G1" t="s">
        <v>35</v>
      </c>
    </row>
    <row r="2" spans="1:7" x14ac:dyDescent="0.25">
      <c r="E2" s="125" t="s">
        <v>9</v>
      </c>
      <c r="F2" s="125" t="s">
        <v>36</v>
      </c>
      <c r="G2" s="125" t="s">
        <v>36</v>
      </c>
    </row>
    <row r="3" spans="1:7" x14ac:dyDescent="0.25">
      <c r="A3" s="126">
        <v>1</v>
      </c>
      <c r="B3" s="127" t="str">
        <f>VLOOKUP(A3,A4:C6,2,FALSE)</f>
        <v>English</v>
      </c>
      <c r="C3" s="128" t="str">
        <f>VLOOKUP(A3,A4:C6,3,FALSE)</f>
        <v>En</v>
      </c>
      <c r="D3" s="129"/>
      <c r="E3" s="125" t="s">
        <v>37</v>
      </c>
      <c r="F3" s="125" t="s">
        <v>38</v>
      </c>
      <c r="G3" t="s">
        <v>39</v>
      </c>
    </row>
    <row r="4" spans="1:7" x14ac:dyDescent="0.25">
      <c r="A4" s="130">
        <v>1</v>
      </c>
      <c r="B4" s="129" t="s">
        <v>40</v>
      </c>
      <c r="C4" s="131" t="s">
        <v>33</v>
      </c>
      <c r="D4" s="129"/>
      <c r="E4" s="125" t="s">
        <v>133</v>
      </c>
      <c r="F4" s="125" t="s">
        <v>133</v>
      </c>
      <c r="G4" s="125" t="s">
        <v>133</v>
      </c>
    </row>
    <row r="5" spans="1:7" x14ac:dyDescent="0.25">
      <c r="A5" s="130">
        <v>2</v>
      </c>
      <c r="B5" s="129" t="s">
        <v>41</v>
      </c>
      <c r="C5" s="131" t="s">
        <v>34</v>
      </c>
      <c r="D5" s="129"/>
      <c r="E5" s="125" t="s">
        <v>10</v>
      </c>
      <c r="F5" s="125" t="s">
        <v>42</v>
      </c>
      <c r="G5" t="s">
        <v>43</v>
      </c>
    </row>
    <row r="6" spans="1:7" x14ac:dyDescent="0.25">
      <c r="A6" s="132">
        <v>3</v>
      </c>
      <c r="B6" s="133" t="s">
        <v>44</v>
      </c>
      <c r="C6" s="134" t="s">
        <v>35</v>
      </c>
      <c r="D6" s="129"/>
      <c r="E6" s="216" t="s">
        <v>137</v>
      </c>
      <c r="F6" s="216" t="s">
        <v>138</v>
      </c>
      <c r="G6" s="216" t="s">
        <v>138</v>
      </c>
    </row>
    <row r="7" spans="1:7" x14ac:dyDescent="0.25">
      <c r="E7" s="125" t="s">
        <v>16</v>
      </c>
      <c r="F7" s="125" t="s">
        <v>45</v>
      </c>
      <c r="G7" t="s">
        <v>46</v>
      </c>
    </row>
    <row r="8" spans="1:7" x14ac:dyDescent="0.25">
      <c r="E8" s="125" t="s">
        <v>17</v>
      </c>
      <c r="F8" s="125" t="s">
        <v>17</v>
      </c>
      <c r="G8" s="125" t="s">
        <v>17</v>
      </c>
    </row>
    <row r="9" spans="1:7" x14ac:dyDescent="0.25">
      <c r="E9" s="125" t="s">
        <v>30</v>
      </c>
      <c r="F9" s="125" t="s">
        <v>47</v>
      </c>
      <c r="G9" s="125" t="s">
        <v>48</v>
      </c>
    </row>
    <row r="10" spans="1:7" x14ac:dyDescent="0.25">
      <c r="E10" s="125" t="s">
        <v>18</v>
      </c>
      <c r="F10" s="125" t="s">
        <v>18</v>
      </c>
      <c r="G10" s="125" t="s">
        <v>18</v>
      </c>
    </row>
    <row r="11" spans="1:7" x14ac:dyDescent="0.25">
      <c r="E11" s="125" t="s">
        <v>19</v>
      </c>
      <c r="F11" s="125" t="s">
        <v>19</v>
      </c>
      <c r="G11" s="125" t="s">
        <v>19</v>
      </c>
    </row>
    <row r="12" spans="1:7" x14ac:dyDescent="0.25">
      <c r="E12" s="125" t="s">
        <v>20</v>
      </c>
      <c r="F12" s="125" t="s">
        <v>20</v>
      </c>
      <c r="G12" s="125" t="s">
        <v>20</v>
      </c>
    </row>
    <row r="13" spans="1:7" x14ac:dyDescent="0.25">
      <c r="E13" s="125" t="s">
        <v>21</v>
      </c>
      <c r="F13" s="125" t="s">
        <v>21</v>
      </c>
      <c r="G13" s="125" t="s">
        <v>21</v>
      </c>
    </row>
    <row r="14" spans="1:7" x14ac:dyDescent="0.25">
      <c r="E14" s="125" t="s">
        <v>91</v>
      </c>
      <c r="F14" s="125" t="s">
        <v>92</v>
      </c>
      <c r="G14" t="s">
        <v>93</v>
      </c>
    </row>
    <row r="15" spans="1:7" x14ac:dyDescent="0.25">
      <c r="E15" s="125" t="s">
        <v>25</v>
      </c>
      <c r="F15" s="125" t="s">
        <v>49</v>
      </c>
      <c r="G15" t="s">
        <v>50</v>
      </c>
    </row>
    <row r="16" spans="1:7" x14ac:dyDescent="0.25">
      <c r="E16" s="125" t="s">
        <v>51</v>
      </c>
      <c r="F16" s="125" t="s">
        <v>52</v>
      </c>
      <c r="G16" t="s">
        <v>53</v>
      </c>
    </row>
    <row r="17" spans="5:7" x14ac:dyDescent="0.25">
      <c r="E17" s="125" t="s">
        <v>54</v>
      </c>
      <c r="F17" s="125" t="s">
        <v>55</v>
      </c>
      <c r="G17" t="s">
        <v>56</v>
      </c>
    </row>
    <row r="18" spans="5:7" x14ac:dyDescent="0.25">
      <c r="E18" s="125" t="s">
        <v>26</v>
      </c>
      <c r="F18" s="125" t="s">
        <v>57</v>
      </c>
      <c r="G18" t="s">
        <v>58</v>
      </c>
    </row>
    <row r="19" spans="5:7" x14ac:dyDescent="0.25">
      <c r="E19" s="125" t="s">
        <v>27</v>
      </c>
      <c r="F19" s="125" t="s">
        <v>27</v>
      </c>
      <c r="G19" s="125" t="s">
        <v>27</v>
      </c>
    </row>
    <row r="20" spans="5:7" x14ac:dyDescent="0.25">
      <c r="E20" s="125" t="s">
        <v>28</v>
      </c>
      <c r="F20" s="125" t="s">
        <v>28</v>
      </c>
      <c r="G20" s="125" t="s">
        <v>28</v>
      </c>
    </row>
    <row r="21" spans="5:7" x14ac:dyDescent="0.25">
      <c r="E21" s="125" t="s">
        <v>29</v>
      </c>
      <c r="F21" s="125" t="s">
        <v>29</v>
      </c>
      <c r="G21" s="125" t="s">
        <v>29</v>
      </c>
    </row>
    <row r="22" spans="5:7" x14ac:dyDescent="0.25">
      <c r="E22" s="125" t="s">
        <v>31</v>
      </c>
      <c r="F22" s="125" t="s">
        <v>59</v>
      </c>
      <c r="G22" t="s">
        <v>60</v>
      </c>
    </row>
    <row r="23" spans="5:7" x14ac:dyDescent="0.25">
      <c r="E23" s="125" t="s">
        <v>12</v>
      </c>
      <c r="F23" s="125" t="s">
        <v>61</v>
      </c>
      <c r="G23" t="s">
        <v>62</v>
      </c>
    </row>
    <row r="24" spans="5:7" x14ac:dyDescent="0.25">
      <c r="E24" s="125" t="s">
        <v>13</v>
      </c>
      <c r="F24" s="125" t="s">
        <v>13</v>
      </c>
      <c r="G24" s="125" t="s">
        <v>13</v>
      </c>
    </row>
    <row r="25" spans="5:7" x14ac:dyDescent="0.25">
      <c r="E25" s="125" t="s">
        <v>14</v>
      </c>
      <c r="F25" s="125" t="s">
        <v>63</v>
      </c>
      <c r="G25" s="125" t="s">
        <v>63</v>
      </c>
    </row>
    <row r="26" spans="5:7" x14ac:dyDescent="0.25">
      <c r="E26" s="125" t="s">
        <v>15</v>
      </c>
      <c r="F26" s="125" t="s">
        <v>95</v>
      </c>
      <c r="G26" s="125" t="s">
        <v>94</v>
      </c>
    </row>
    <row r="27" spans="5:7" x14ac:dyDescent="0.25">
      <c r="E27" s="125" t="s">
        <v>64</v>
      </c>
      <c r="F27" s="125" t="s">
        <v>96</v>
      </c>
      <c r="G27" t="s">
        <v>97</v>
      </c>
    </row>
    <row r="28" spans="5:7" x14ac:dyDescent="0.25">
      <c r="E28" s="125" t="s">
        <v>65</v>
      </c>
      <c r="F28" t="s">
        <v>66</v>
      </c>
      <c r="G28" t="s">
        <v>67</v>
      </c>
    </row>
    <row r="29" spans="5:7" x14ac:dyDescent="0.25">
      <c r="E29" s="125" t="s">
        <v>87</v>
      </c>
      <c r="F29" s="125" t="s">
        <v>88</v>
      </c>
      <c r="G29" t="s">
        <v>89</v>
      </c>
    </row>
    <row r="30" spans="5:7" x14ac:dyDescent="0.25">
      <c r="E30" s="125" t="s">
        <v>68</v>
      </c>
      <c r="F30" s="125" t="s">
        <v>69</v>
      </c>
      <c r="G30" t="s">
        <v>70</v>
      </c>
    </row>
    <row r="31" spans="5:7" x14ac:dyDescent="0.25">
      <c r="E31" s="125" t="s">
        <v>71</v>
      </c>
      <c r="F31" s="125" t="s">
        <v>72</v>
      </c>
      <c r="G31" t="s">
        <v>73</v>
      </c>
    </row>
    <row r="32" spans="5:7" ht="30" x14ac:dyDescent="0.25">
      <c r="E32" s="125" t="s">
        <v>3</v>
      </c>
      <c r="F32" s="125" t="s">
        <v>90</v>
      </c>
      <c r="G32" s="135" t="s">
        <v>74</v>
      </c>
    </row>
    <row r="33" spans="5:7" ht="45" x14ac:dyDescent="0.25">
      <c r="E33" s="125" t="s">
        <v>4</v>
      </c>
      <c r="F33" s="125" t="s">
        <v>75</v>
      </c>
      <c r="G33" s="135" t="s">
        <v>76</v>
      </c>
    </row>
    <row r="34" spans="5:7" ht="60" x14ac:dyDescent="0.25">
      <c r="E34" s="136" t="s">
        <v>5</v>
      </c>
      <c r="F34" s="125" t="s">
        <v>77</v>
      </c>
      <c r="G34" s="135" t="s">
        <v>78</v>
      </c>
    </row>
    <row r="35" spans="5:7" x14ac:dyDescent="0.25">
      <c r="E35" s="125" t="s">
        <v>79</v>
      </c>
      <c r="F35" s="125" t="s">
        <v>80</v>
      </c>
      <c r="G35" t="s">
        <v>81</v>
      </c>
    </row>
    <row r="36" spans="5:7" x14ac:dyDescent="0.25">
      <c r="E36" s="125" t="s">
        <v>6</v>
      </c>
      <c r="F36" s="125" t="s">
        <v>82</v>
      </c>
      <c r="G36" s="125" t="s">
        <v>82</v>
      </c>
    </row>
    <row r="37" spans="5:7" x14ac:dyDescent="0.25">
      <c r="E37" s="125" t="s">
        <v>7</v>
      </c>
      <c r="F37" s="125" t="s">
        <v>7</v>
      </c>
      <c r="G37" t="s">
        <v>83</v>
      </c>
    </row>
    <row r="38" spans="5:7" x14ac:dyDescent="0.25">
      <c r="E38" s="125" t="s">
        <v>84</v>
      </c>
      <c r="F38" s="125" t="s">
        <v>85</v>
      </c>
      <c r="G38" t="s">
        <v>86</v>
      </c>
    </row>
    <row r="39" spans="5:7" x14ac:dyDescent="0.25">
      <c r="E39" s="125" t="s">
        <v>192</v>
      </c>
      <c r="F39" s="125" t="s">
        <v>190</v>
      </c>
      <c r="G39" s="125" t="s">
        <v>191</v>
      </c>
    </row>
    <row r="40" spans="5:7" ht="24.75" x14ac:dyDescent="0.25">
      <c r="E40" s="125" t="s">
        <v>155</v>
      </c>
      <c r="F40" s="125" t="s">
        <v>157</v>
      </c>
      <c r="G40" s="125" t="s">
        <v>159</v>
      </c>
    </row>
    <row r="41" spans="5:7" ht="24.75" x14ac:dyDescent="0.25">
      <c r="E41" s="125" t="s">
        <v>183</v>
      </c>
      <c r="F41" s="125" t="s">
        <v>184</v>
      </c>
      <c r="G41" s="125" t="s">
        <v>185</v>
      </c>
    </row>
    <row r="42" spans="5:7" ht="24.75" x14ac:dyDescent="0.25">
      <c r="E42" s="125" t="s">
        <v>156</v>
      </c>
      <c r="F42" s="125" t="s">
        <v>158</v>
      </c>
      <c r="G42" s="125" t="s">
        <v>160</v>
      </c>
    </row>
    <row r="43" spans="5:7" x14ac:dyDescent="0.25">
      <c r="E43" s="125" t="s">
        <v>115</v>
      </c>
      <c r="F43" s="125" t="s">
        <v>116</v>
      </c>
      <c r="G43" s="125" t="s">
        <v>117</v>
      </c>
    </row>
    <row r="44" spans="5:7" ht="24.75" x14ac:dyDescent="0.25">
      <c r="E44" s="125" t="s">
        <v>112</v>
      </c>
      <c r="F44" s="125" t="s">
        <v>113</v>
      </c>
      <c r="G44" s="125" t="s">
        <v>114</v>
      </c>
    </row>
    <row r="45" spans="5:7" ht="24" x14ac:dyDescent="0.25">
      <c r="E45" s="136" t="s">
        <v>120</v>
      </c>
      <c r="F45" s="136" t="s">
        <v>118</v>
      </c>
      <c r="G45" s="183" t="s">
        <v>119</v>
      </c>
    </row>
    <row r="46" spans="5:7" x14ac:dyDescent="0.25">
      <c r="E46" s="125" t="s">
        <v>121</v>
      </c>
      <c r="F46" s="125" t="s">
        <v>122</v>
      </c>
      <c r="G46" s="125" t="s">
        <v>123</v>
      </c>
    </row>
    <row r="47" spans="5:7" x14ac:dyDescent="0.25">
      <c r="E47" s="125" t="s">
        <v>124</v>
      </c>
      <c r="F47" s="125" t="s">
        <v>125</v>
      </c>
      <c r="G47" s="125" t="s">
        <v>126</v>
      </c>
    </row>
    <row r="48" spans="5:7" x14ac:dyDescent="0.25">
      <c r="E48" s="125" t="s">
        <v>127</v>
      </c>
      <c r="F48" s="125" t="s">
        <v>128</v>
      </c>
      <c r="G48" s="125" t="s">
        <v>129</v>
      </c>
    </row>
    <row r="49" spans="5:7" x14ac:dyDescent="0.25">
      <c r="E49" s="125" t="s">
        <v>130</v>
      </c>
      <c r="F49" s="125" t="s">
        <v>131</v>
      </c>
      <c r="G49" s="125" t="s">
        <v>132</v>
      </c>
    </row>
    <row r="50" spans="5:7" x14ac:dyDescent="0.25">
      <c r="E50" s="212" t="s">
        <v>134</v>
      </c>
      <c r="F50" s="212" t="s">
        <v>135</v>
      </c>
      <c r="G50" s="212" t="s">
        <v>136</v>
      </c>
    </row>
    <row r="51" spans="5:7" x14ac:dyDescent="0.25">
      <c r="E51" s="216" t="s">
        <v>142</v>
      </c>
      <c r="F51" s="216" t="s">
        <v>143</v>
      </c>
      <c r="G51" s="216" t="s">
        <v>143</v>
      </c>
    </row>
    <row r="52" spans="5:7" x14ac:dyDescent="0.25">
      <c r="E52" s="216" t="s">
        <v>139</v>
      </c>
      <c r="F52" s="216" t="s">
        <v>140</v>
      </c>
      <c r="G52" s="216" t="s">
        <v>141</v>
      </c>
    </row>
    <row r="53" spans="5:7" ht="24.75" x14ac:dyDescent="0.25">
      <c r="E53" s="216" t="s">
        <v>144</v>
      </c>
      <c r="F53" s="216" t="s">
        <v>145</v>
      </c>
      <c r="G53" s="216" t="s">
        <v>146</v>
      </c>
    </row>
    <row r="54" spans="5:7" ht="24.75" x14ac:dyDescent="0.25">
      <c r="E54" s="216" t="s">
        <v>151</v>
      </c>
      <c r="F54" s="216" t="s">
        <v>152</v>
      </c>
      <c r="G54" s="216" t="s">
        <v>153</v>
      </c>
    </row>
    <row r="55" spans="5:7" x14ac:dyDescent="0.25">
      <c r="E55" s="125" t="s">
        <v>150</v>
      </c>
      <c r="F55" s="125" t="s">
        <v>148</v>
      </c>
      <c r="G55" t="s">
        <v>149</v>
      </c>
    </row>
    <row r="56" spans="5:7" x14ac:dyDescent="0.25">
      <c r="E56" s="221" t="s">
        <v>182</v>
      </c>
      <c r="F56" s="221" t="s">
        <v>182</v>
      </c>
      <c r="G56" s="221" t="s">
        <v>182</v>
      </c>
    </row>
    <row r="57" spans="5:7" ht="36.75" x14ac:dyDescent="0.25">
      <c r="E57" s="125" t="s">
        <v>187</v>
      </c>
      <c r="F57" s="216" t="s">
        <v>188</v>
      </c>
      <c r="G57" s="216" t="s">
        <v>189</v>
      </c>
    </row>
    <row r="58" spans="5:7" ht="30" x14ac:dyDescent="0.25">
      <c r="E58" s="136" t="s">
        <v>194</v>
      </c>
      <c r="F58" s="136" t="s">
        <v>195</v>
      </c>
      <c r="G58" s="246" t="s">
        <v>196</v>
      </c>
    </row>
    <row r="59" spans="5:7" x14ac:dyDescent="0.25">
      <c r="G59" s="135"/>
    </row>
    <row r="60" spans="5:7" x14ac:dyDescent="0.25">
      <c r="G60" s="135"/>
    </row>
    <row r="62" spans="5:7" x14ac:dyDescent="0.25">
      <c r="G62" s="125"/>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Cortec</vt:lpstr>
      <vt:lpstr>Configurator</vt:lpstr>
      <vt:lpstr>Master Text</vt:lpstr>
      <vt:lpstr>Boards &amp; Accessories</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OLIVEIRA Lucas</dc:creator>
  <cp:lastModifiedBy>Pires, Adriano (GE Renewable Energy)</cp:lastModifiedBy>
  <cp:lastPrinted>2014-02-20T10:54:46Z</cp:lastPrinted>
  <dcterms:created xsi:type="dcterms:W3CDTF">2012-11-20T14:50:48Z</dcterms:created>
  <dcterms:modified xsi:type="dcterms:W3CDTF">2021-02-03T14:29:08Z</dcterms:modified>
</cp:coreProperties>
</file>